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ef4d1d9c640aa713/Documentos/"/>
    </mc:Choice>
  </mc:AlternateContent>
  <xr:revisionPtr revIDLastSave="28" documentId="8_{9791A43A-B843-47B7-AB1B-2357755EC3C9}" xr6:coauthVersionLast="47" xr6:coauthVersionMax="47" xr10:uidLastSave="{FB5387FF-121A-4893-A5DF-350F0198DA14}"/>
  <bookViews>
    <workbookView xWindow="-120" yWindow="-120" windowWidth="29040" windowHeight="15720" activeTab="2" xr2:uid="{00000000-000D-0000-FFFF-FFFF00000000}"/>
  </bookViews>
  <sheets>
    <sheet name="FLUJO DE CAJA" sheetId="1" r:id="rId1"/>
    <sheet name="RESUMEN CIERRE" sheetId="2" r:id="rId2"/>
    <sheet name="VENTAS" sheetId="3" r:id="rId3"/>
    <sheet name="COMPRAS" sheetId="4" r:id="rId4"/>
    <sheet name="RECARGA MP" sheetId="5" r:id="rId5"/>
    <sheet name="INSUMOS" sheetId="6" r:id="rId6"/>
    <sheet name="SIC" sheetId="7" r:id="rId7"/>
    <sheet name="TRANSFERENCIAS" sheetId="8" r:id="rId8"/>
    <sheet name="OGI" sheetId="9" r:id="rId9"/>
    <sheet name="SUELDOS" sheetId="10" r:id="rId10"/>
    <sheet name="PRESUPUESTO" sheetId="11" r:id="rId11"/>
    <sheet name="INVENTARIO" sheetId="12" r:id="rId12"/>
    <sheet name="ESTADOS FINANCIEROS" sheetId="13" r:id="rId13"/>
    <sheet name="EGP" sheetId="14" r:id="rId14"/>
  </sheets>
  <definedNames>
    <definedName name="Z_17615D2B_5B49_4672_A351_489C66FF79A5_.wvu.FilterData" localSheetId="2" hidden="1">VENTAS!$A$6:$U$250</definedName>
  </definedNames>
  <calcPr calcId="191029"/>
  <customWorkbookViews>
    <customWorkbookView name="Filtro 1" guid="{17615D2B-5B49-4672-A351-489C66FF79A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4" i="11" l="1"/>
  <c r="AH24" i="11"/>
  <c r="AE24" i="11"/>
  <c r="AB24" i="11"/>
  <c r="Y24" i="11"/>
  <c r="V24" i="11"/>
  <c r="S24" i="11"/>
  <c r="P24" i="11"/>
  <c r="M24" i="11"/>
  <c r="J24" i="11"/>
  <c r="G24" i="11"/>
  <c r="D24" i="11"/>
  <c r="C24" i="11"/>
  <c r="K1227" i="4"/>
  <c r="I1227" i="4"/>
  <c r="K1226" i="4"/>
  <c r="I1226" i="4"/>
  <c r="K1225" i="4"/>
  <c r="I1225" i="4"/>
  <c r="K1224" i="4"/>
  <c r="K1228" i="4" s="1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K1125" i="4"/>
  <c r="I1125" i="4"/>
  <c r="K1124" i="4"/>
  <c r="I1124" i="4"/>
  <c r="K1123" i="4"/>
  <c r="I1123" i="4"/>
  <c r="K1122" i="4"/>
  <c r="K1126" i="4" s="1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K1023" i="4"/>
  <c r="I1023" i="4"/>
  <c r="K1022" i="4"/>
  <c r="I1022" i="4"/>
  <c r="K1021" i="4"/>
  <c r="I1021" i="4"/>
  <c r="K1020" i="4"/>
  <c r="K1024" i="4" s="1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K921" i="4"/>
  <c r="I921" i="4"/>
  <c r="K920" i="4"/>
  <c r="I920" i="4"/>
  <c r="K919" i="4"/>
  <c r="I919" i="4"/>
  <c r="K918" i="4"/>
  <c r="K922" i="4" s="1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K819" i="4"/>
  <c r="I819" i="4"/>
  <c r="K818" i="4"/>
  <c r="I818" i="4"/>
  <c r="K817" i="4"/>
  <c r="I817" i="4"/>
  <c r="K816" i="4"/>
  <c r="K820" i="4" s="1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K717" i="4"/>
  <c r="I717" i="4"/>
  <c r="K716" i="4"/>
  <c r="I716" i="4"/>
  <c r="K715" i="4"/>
  <c r="I715" i="4"/>
  <c r="K714" i="4"/>
  <c r="K718" i="4" s="1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K615" i="4"/>
  <c r="I615" i="4"/>
  <c r="K614" i="4"/>
  <c r="I614" i="4"/>
  <c r="K613" i="4"/>
  <c r="I613" i="4"/>
  <c r="K612" i="4"/>
  <c r="K616" i="4" s="1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K513" i="4"/>
  <c r="I513" i="4"/>
  <c r="K512" i="4"/>
  <c r="I512" i="4"/>
  <c r="K511" i="4"/>
  <c r="I511" i="4"/>
  <c r="K510" i="4"/>
  <c r="K514" i="4" s="1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K411" i="4"/>
  <c r="I411" i="4"/>
  <c r="K410" i="4"/>
  <c r="I410" i="4"/>
  <c r="K409" i="4"/>
  <c r="I409" i="4"/>
  <c r="K408" i="4"/>
  <c r="K412" i="4" s="1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K309" i="4"/>
  <c r="I309" i="4"/>
  <c r="K308" i="4"/>
  <c r="I308" i="4"/>
  <c r="K307" i="4"/>
  <c r="I307" i="4"/>
  <c r="K306" i="4"/>
  <c r="K310" i="4" s="1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K207" i="4"/>
  <c r="I207" i="4"/>
  <c r="K206" i="4"/>
  <c r="I206" i="4"/>
  <c r="K205" i="4"/>
  <c r="I205" i="4"/>
  <c r="K204" i="4"/>
  <c r="K208" i="4" s="1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K105" i="4"/>
  <c r="K104" i="4"/>
  <c r="K103" i="4"/>
  <c r="K102" i="4"/>
  <c r="V36" i="13"/>
  <c r="T36" i="13"/>
  <c r="D32" i="13"/>
  <c r="D31" i="13"/>
  <c r="D30" i="13"/>
  <c r="V28" i="13"/>
  <c r="T28" i="13"/>
  <c r="Q28" i="13"/>
  <c r="O28" i="13"/>
  <c r="D22" i="13"/>
  <c r="D21" i="13"/>
  <c r="V20" i="13"/>
  <c r="Q20" i="13"/>
  <c r="D14" i="13"/>
  <c r="H11" i="13"/>
  <c r="F11" i="13"/>
  <c r="D8" i="13"/>
  <c r="D7" i="13"/>
  <c r="D11" i="13" s="1"/>
  <c r="Q6" i="13"/>
  <c r="V6" i="13" s="1"/>
  <c r="O6" i="13"/>
  <c r="T6" i="13" s="1"/>
  <c r="K3" i="13"/>
  <c r="K1" i="13"/>
  <c r="H42" i="12"/>
  <c r="J42" i="12" s="1"/>
  <c r="H41" i="12"/>
  <c r="J41" i="12" s="1"/>
  <c r="H40" i="12"/>
  <c r="J40" i="12" s="1"/>
  <c r="H39" i="12"/>
  <c r="J39" i="12" s="1"/>
  <c r="H38" i="12"/>
  <c r="J38" i="12" s="1"/>
  <c r="H37" i="12"/>
  <c r="J37" i="12" s="1"/>
  <c r="H36" i="12"/>
  <c r="J36" i="12" s="1"/>
  <c r="H35" i="12"/>
  <c r="J35" i="12" s="1"/>
  <c r="H34" i="12"/>
  <c r="J34" i="12" s="1"/>
  <c r="H33" i="12"/>
  <c r="J33" i="12" s="1"/>
  <c r="H32" i="12"/>
  <c r="H31" i="12"/>
  <c r="H30" i="12"/>
  <c r="J30" i="12" s="1"/>
  <c r="H29" i="12"/>
  <c r="J29" i="12" s="1"/>
  <c r="H28" i="12"/>
  <c r="H27" i="12"/>
  <c r="J27" i="12" s="1"/>
  <c r="H26" i="12"/>
  <c r="J26" i="12" s="1"/>
  <c r="H25" i="12"/>
  <c r="H24" i="12"/>
  <c r="J24" i="12" s="1"/>
  <c r="H23" i="12"/>
  <c r="J23" i="12" s="1"/>
  <c r="H22" i="12"/>
  <c r="J22" i="12" s="1"/>
  <c r="H21" i="12"/>
  <c r="J21" i="12" s="1"/>
  <c r="Q20" i="12"/>
  <c r="H20" i="12"/>
  <c r="J20" i="12" s="1"/>
  <c r="H19" i="12"/>
  <c r="J19" i="12" s="1"/>
  <c r="H17" i="12"/>
  <c r="J17" i="12" s="1"/>
  <c r="H16" i="12"/>
  <c r="J16" i="12" s="1"/>
  <c r="H15" i="12"/>
  <c r="J15" i="12" s="1"/>
  <c r="H14" i="12"/>
  <c r="J14" i="12" s="1"/>
  <c r="H13" i="12"/>
  <c r="J13" i="12" s="1"/>
  <c r="F12" i="12"/>
  <c r="H11" i="12"/>
  <c r="J11" i="12" s="1"/>
  <c r="H10" i="12"/>
  <c r="J10" i="12" s="1"/>
  <c r="H9" i="12"/>
  <c r="J9" i="12" s="1"/>
  <c r="H8" i="12"/>
  <c r="J8" i="12" s="1"/>
  <c r="H7" i="12"/>
  <c r="J7" i="12" s="1"/>
  <c r="H6" i="12"/>
  <c r="J6" i="12" s="1"/>
  <c r="H5" i="12"/>
  <c r="J5" i="12" s="1"/>
  <c r="H4" i="12"/>
  <c r="J4" i="12" s="1"/>
  <c r="U33" i="11"/>
  <c r="U39" i="11" s="1"/>
  <c r="T33" i="11"/>
  <c r="T39" i="11" s="1"/>
  <c r="S33" i="11"/>
  <c r="S39" i="11" s="1"/>
  <c r="R33" i="11"/>
  <c r="R39" i="11" s="1"/>
  <c r="Q33" i="11"/>
  <c r="Q39" i="11" s="1"/>
  <c r="P33" i="11"/>
  <c r="P39" i="11" s="1"/>
  <c r="O33" i="11"/>
  <c r="O39" i="11" s="1"/>
  <c r="N33" i="11"/>
  <c r="N39" i="11" s="1"/>
  <c r="M33" i="11"/>
  <c r="M39" i="11" s="1"/>
  <c r="L33" i="11"/>
  <c r="L39" i="11" s="1"/>
  <c r="K33" i="11"/>
  <c r="K39" i="11" s="1"/>
  <c r="J33" i="11"/>
  <c r="J39" i="11" s="1"/>
  <c r="J41" i="11" s="1"/>
  <c r="U32" i="11"/>
  <c r="U38" i="11" s="1"/>
  <c r="T32" i="11"/>
  <c r="T38" i="11" s="1"/>
  <c r="S32" i="11"/>
  <c r="S38" i="11" s="1"/>
  <c r="R32" i="11"/>
  <c r="R38" i="11" s="1"/>
  <c r="Q32" i="11"/>
  <c r="Q38" i="11" s="1"/>
  <c r="P32" i="11"/>
  <c r="P38" i="11" s="1"/>
  <c r="O32" i="11"/>
  <c r="O38" i="11" s="1"/>
  <c r="N32" i="11"/>
  <c r="N38" i="11" s="1"/>
  <c r="M32" i="11"/>
  <c r="M38" i="11" s="1"/>
  <c r="L32" i="11"/>
  <c r="L38" i="11" s="1"/>
  <c r="K32" i="11"/>
  <c r="K38" i="11" s="1"/>
  <c r="J32" i="11"/>
  <c r="J38" i="11" s="1"/>
  <c r="U31" i="11"/>
  <c r="T31" i="11"/>
  <c r="S31" i="11"/>
  <c r="R31" i="11"/>
  <c r="Q31" i="11"/>
  <c r="P31" i="11"/>
  <c r="O31" i="11"/>
  <c r="N31" i="11"/>
  <c r="M31" i="11"/>
  <c r="L31" i="11"/>
  <c r="K31" i="11"/>
  <c r="J31" i="11"/>
  <c r="C25" i="11"/>
  <c r="AL23" i="11"/>
  <c r="AL22" i="11"/>
  <c r="H22" i="11"/>
  <c r="D22" i="11"/>
  <c r="D21" i="11"/>
  <c r="D20" i="11"/>
  <c r="D19" i="11"/>
  <c r="D18" i="11"/>
  <c r="D17" i="11"/>
  <c r="AL16" i="11"/>
  <c r="AK16" i="11"/>
  <c r="AM16" i="11" s="1"/>
  <c r="AI16" i="11"/>
  <c r="AH16" i="11"/>
  <c r="AJ16" i="11" s="1"/>
  <c r="AF16" i="11"/>
  <c r="AE16" i="11"/>
  <c r="AG16" i="11" s="1"/>
  <c r="AC16" i="11"/>
  <c r="AB16" i="11"/>
  <c r="AD16" i="11" s="1"/>
  <c r="Z16" i="11"/>
  <c r="Y16" i="11"/>
  <c r="AA16" i="11" s="1"/>
  <c r="W16" i="11"/>
  <c r="V16" i="11"/>
  <c r="X16" i="11" s="1"/>
  <c r="T16" i="11"/>
  <c r="S16" i="11"/>
  <c r="U16" i="11" s="1"/>
  <c r="Q16" i="11"/>
  <c r="P16" i="11"/>
  <c r="R16" i="11" s="1"/>
  <c r="N16" i="11"/>
  <c r="M16" i="11"/>
  <c r="O16" i="11" s="1"/>
  <c r="K16" i="11"/>
  <c r="J16" i="11"/>
  <c r="L16" i="11" s="1"/>
  <c r="H16" i="11"/>
  <c r="G16" i="11"/>
  <c r="I16" i="11" s="1"/>
  <c r="E16" i="11"/>
  <c r="D16" i="11"/>
  <c r="F16" i="11" s="1"/>
  <c r="D15" i="11"/>
  <c r="D14" i="11"/>
  <c r="D13" i="11"/>
  <c r="D12" i="11"/>
  <c r="D11" i="11"/>
  <c r="D10" i="11"/>
  <c r="D9" i="11"/>
  <c r="D8" i="11"/>
  <c r="AE7" i="11"/>
  <c r="D7" i="11"/>
  <c r="D6" i="11"/>
  <c r="D5" i="11"/>
  <c r="AL1" i="11"/>
  <c r="AI1" i="11"/>
  <c r="AF1" i="11"/>
  <c r="AC1" i="11"/>
  <c r="Z1" i="11"/>
  <c r="W1" i="11"/>
  <c r="T1" i="11"/>
  <c r="Q1" i="11"/>
  <c r="N1" i="11"/>
  <c r="K1" i="11"/>
  <c r="H1" i="11"/>
  <c r="E1" i="11"/>
  <c r="C1" i="11"/>
  <c r="M86" i="10"/>
  <c r="L86" i="10"/>
  <c r="K86" i="10"/>
  <c r="J86" i="10"/>
  <c r="N85" i="10"/>
  <c r="D85" i="10"/>
  <c r="N84" i="10"/>
  <c r="D84" i="10"/>
  <c r="N83" i="10"/>
  <c r="N86" i="10" s="1"/>
  <c r="D83" i="10"/>
  <c r="M79" i="10"/>
  <c r="K79" i="10"/>
  <c r="J79" i="10"/>
  <c r="N78" i="10"/>
  <c r="F78" i="10"/>
  <c r="E78" i="10"/>
  <c r="I78" i="10" s="1"/>
  <c r="O78" i="10" s="1"/>
  <c r="N77" i="10"/>
  <c r="F77" i="10"/>
  <c r="E77" i="10"/>
  <c r="I77" i="10" s="1"/>
  <c r="O77" i="10" s="1"/>
  <c r="N76" i="10"/>
  <c r="F76" i="10"/>
  <c r="E76" i="10"/>
  <c r="I76" i="10" s="1"/>
  <c r="O76" i="10" s="1"/>
  <c r="L75" i="10"/>
  <c r="F75" i="10"/>
  <c r="E75" i="10"/>
  <c r="I75" i="10" s="1"/>
  <c r="M71" i="10"/>
  <c r="K71" i="10"/>
  <c r="J71" i="10"/>
  <c r="N70" i="10"/>
  <c r="D70" i="10"/>
  <c r="N69" i="10"/>
  <c r="D69" i="10"/>
  <c r="L68" i="10"/>
  <c r="D68" i="10"/>
  <c r="M64" i="10"/>
  <c r="K64" i="10"/>
  <c r="J64" i="10"/>
  <c r="N63" i="10"/>
  <c r="D63" i="10"/>
  <c r="L62" i="10"/>
  <c r="D62" i="10"/>
  <c r="N61" i="10"/>
  <c r="D61" i="10"/>
  <c r="M57" i="10"/>
  <c r="K57" i="10"/>
  <c r="N56" i="10"/>
  <c r="D56" i="10"/>
  <c r="L55" i="10"/>
  <c r="N55" i="10" s="1"/>
  <c r="D55" i="10"/>
  <c r="L54" i="10"/>
  <c r="L57" i="10" s="1"/>
  <c r="J54" i="10"/>
  <c r="D54" i="10"/>
  <c r="M50" i="10"/>
  <c r="L50" i="10"/>
  <c r="K50" i="10"/>
  <c r="J50" i="10"/>
  <c r="N49" i="10"/>
  <c r="D49" i="10"/>
  <c r="N48" i="10"/>
  <c r="D48" i="10"/>
  <c r="N47" i="10"/>
  <c r="N50" i="10" s="1"/>
  <c r="D47" i="10"/>
  <c r="M43" i="10"/>
  <c r="J42" i="10"/>
  <c r="N42" i="10" s="1"/>
  <c r="D42" i="10"/>
  <c r="L41" i="10"/>
  <c r="L43" i="10" s="1"/>
  <c r="J41" i="10"/>
  <c r="D41" i="10"/>
  <c r="K40" i="10"/>
  <c r="D40" i="10"/>
  <c r="M36" i="10"/>
  <c r="K36" i="10"/>
  <c r="J35" i="10"/>
  <c r="N35" i="10" s="1"/>
  <c r="D35" i="10"/>
  <c r="L34" i="10"/>
  <c r="L36" i="10" s="1"/>
  <c r="J34" i="10"/>
  <c r="D34" i="10"/>
  <c r="N33" i="10"/>
  <c r="D33" i="10"/>
  <c r="M29" i="10"/>
  <c r="K29" i="10"/>
  <c r="J29" i="10"/>
  <c r="N28" i="10"/>
  <c r="D28" i="10"/>
  <c r="N27" i="10"/>
  <c r="D27" i="10"/>
  <c r="L26" i="10"/>
  <c r="D26" i="10"/>
  <c r="M22" i="10"/>
  <c r="L22" i="10"/>
  <c r="K22" i="10"/>
  <c r="J22" i="10"/>
  <c r="N21" i="10"/>
  <c r="D21" i="10"/>
  <c r="N20" i="10"/>
  <c r="D20" i="10"/>
  <c r="N19" i="10"/>
  <c r="N22" i="10" s="1"/>
  <c r="D19" i="10"/>
  <c r="M15" i="10"/>
  <c r="K15" i="10"/>
  <c r="L14" i="10"/>
  <c r="L15" i="10" s="1"/>
  <c r="J14" i="10"/>
  <c r="N14" i="10" s="1"/>
  <c r="D14" i="10"/>
  <c r="E14" i="10" s="1"/>
  <c r="I14" i="10" s="1"/>
  <c r="O14" i="10" s="1"/>
  <c r="J13" i="10"/>
  <c r="N13" i="10" s="1"/>
  <c r="D13" i="10"/>
  <c r="E13" i="10" s="1"/>
  <c r="I13" i="10" s="1"/>
  <c r="O13" i="10" s="1"/>
  <c r="J12" i="10"/>
  <c r="D12" i="10"/>
  <c r="E12" i="10" s="1"/>
  <c r="I12" i="10" s="1"/>
  <c r="M8" i="10"/>
  <c r="L8" i="10"/>
  <c r="K8" i="10"/>
  <c r="J7" i="10"/>
  <c r="N7" i="10" s="1"/>
  <c r="D7" i="10"/>
  <c r="E7" i="10" s="1"/>
  <c r="I7" i="10" s="1"/>
  <c r="O7" i="10" s="1"/>
  <c r="J6" i="10"/>
  <c r="N6" i="10" s="1"/>
  <c r="D6" i="10"/>
  <c r="E6" i="10" s="1"/>
  <c r="I6" i="10" s="1"/>
  <c r="O6" i="10" s="1"/>
  <c r="J5" i="10"/>
  <c r="D5" i="10"/>
  <c r="E5" i="10" s="1"/>
  <c r="I5" i="10" s="1"/>
  <c r="M2" i="10"/>
  <c r="L2" i="10"/>
  <c r="K2" i="10"/>
  <c r="J2" i="10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C52" i="9"/>
  <c r="G52" i="9" s="1"/>
  <c r="G51" i="9"/>
  <c r="G50" i="9"/>
  <c r="G49" i="9"/>
  <c r="G48" i="9"/>
  <c r="G47" i="9"/>
  <c r="G46" i="9"/>
  <c r="G45" i="9"/>
  <c r="P44" i="9"/>
  <c r="G44" i="9"/>
  <c r="G43" i="9"/>
  <c r="G42" i="9"/>
  <c r="G41" i="9"/>
  <c r="G40" i="9"/>
  <c r="P39" i="9"/>
  <c r="G39" i="9"/>
  <c r="P38" i="9"/>
  <c r="G38" i="9"/>
  <c r="P37" i="9"/>
  <c r="G37" i="9"/>
  <c r="P36" i="9"/>
  <c r="G36" i="9"/>
  <c r="G35" i="9"/>
  <c r="G34" i="9"/>
  <c r="P33" i="9"/>
  <c r="G33" i="9"/>
  <c r="P32" i="9"/>
  <c r="G32" i="9"/>
  <c r="G31" i="9"/>
  <c r="P30" i="9"/>
  <c r="G30" i="9"/>
  <c r="P29" i="9"/>
  <c r="G29" i="9"/>
  <c r="P28" i="9"/>
  <c r="G28" i="9"/>
  <c r="P27" i="9"/>
  <c r="G27" i="9"/>
  <c r="P26" i="9"/>
  <c r="G26" i="9"/>
  <c r="P25" i="9"/>
  <c r="G25" i="9"/>
  <c r="P24" i="9"/>
  <c r="G24" i="9"/>
  <c r="P23" i="9"/>
  <c r="G23" i="9"/>
  <c r="P22" i="9"/>
  <c r="G22" i="9"/>
  <c r="P21" i="9"/>
  <c r="G21" i="9"/>
  <c r="P20" i="9"/>
  <c r="G20" i="9"/>
  <c r="P19" i="9"/>
  <c r="G19" i="9"/>
  <c r="G18" i="9"/>
  <c r="P17" i="9"/>
  <c r="G17" i="9"/>
  <c r="P16" i="9"/>
  <c r="G16" i="9"/>
  <c r="P15" i="9"/>
  <c r="G15" i="9"/>
  <c r="P14" i="9"/>
  <c r="G14" i="9"/>
  <c r="L13" i="9"/>
  <c r="P13" i="9" s="1"/>
  <c r="G13" i="9"/>
  <c r="P12" i="9"/>
  <c r="G12" i="9"/>
  <c r="P11" i="9"/>
  <c r="G11" i="9"/>
  <c r="P10" i="9"/>
  <c r="G10" i="9"/>
  <c r="P9" i="9"/>
  <c r="G9" i="9"/>
  <c r="P8" i="9"/>
  <c r="G8" i="9"/>
  <c r="P7" i="9"/>
  <c r="G7" i="9"/>
  <c r="P6" i="9"/>
  <c r="G6" i="9"/>
  <c r="G5" i="9"/>
  <c r="P4" i="9"/>
  <c r="O4" i="9"/>
  <c r="N4" i="9"/>
  <c r="M4" i="9"/>
  <c r="L4" i="9"/>
  <c r="G4" i="9"/>
  <c r="F4" i="9"/>
  <c r="E4" i="9"/>
  <c r="D4" i="9"/>
  <c r="C4" i="9"/>
  <c r="J232" i="8"/>
  <c r="J231" i="8"/>
  <c r="J230" i="8"/>
  <c r="J229" i="8"/>
  <c r="J228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3" i="8"/>
  <c r="J212" i="8"/>
  <c r="J211" i="8"/>
  <c r="J210" i="8"/>
  <c r="J209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4" i="8"/>
  <c r="J193" i="8"/>
  <c r="J192" i="8"/>
  <c r="J191" i="8"/>
  <c r="J190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5" i="8"/>
  <c r="J174" i="8"/>
  <c r="J173" i="8"/>
  <c r="J172" i="8"/>
  <c r="J171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6" i="8"/>
  <c r="J155" i="8"/>
  <c r="J154" i="8"/>
  <c r="J153" i="8"/>
  <c r="J152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7" i="8"/>
  <c r="J136" i="8"/>
  <c r="J135" i="8"/>
  <c r="J134" i="8"/>
  <c r="J133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8" i="8"/>
  <c r="J117" i="8"/>
  <c r="J116" i="8"/>
  <c r="J115" i="8"/>
  <c r="J114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99" i="8"/>
  <c r="J98" i="8"/>
  <c r="J97" i="8"/>
  <c r="J96" i="8"/>
  <c r="J95" i="8"/>
  <c r="J93" i="8"/>
  <c r="J92" i="8"/>
  <c r="J91" i="8"/>
  <c r="J90" i="8"/>
  <c r="J89" i="8"/>
  <c r="J88" i="8"/>
  <c r="J87" i="8"/>
  <c r="J86" i="8"/>
  <c r="J85" i="8"/>
  <c r="J84" i="8"/>
  <c r="J83" i="8"/>
  <c r="J82" i="8"/>
  <c r="J80" i="8"/>
  <c r="J79" i="8"/>
  <c r="J78" i="8"/>
  <c r="J77" i="8"/>
  <c r="J76" i="8"/>
  <c r="J74" i="8"/>
  <c r="J73" i="8"/>
  <c r="J72" i="8"/>
  <c r="J71" i="8"/>
  <c r="J70" i="8"/>
  <c r="J69" i="8"/>
  <c r="J68" i="8"/>
  <c r="J67" i="8"/>
  <c r="J66" i="8"/>
  <c r="J65" i="8"/>
  <c r="J64" i="8"/>
  <c r="J63" i="8"/>
  <c r="J61" i="8"/>
  <c r="J60" i="8"/>
  <c r="J59" i="8"/>
  <c r="J58" i="8"/>
  <c r="J57" i="8"/>
  <c r="J55" i="8"/>
  <c r="J54" i="8"/>
  <c r="J53" i="8"/>
  <c r="J52" i="8"/>
  <c r="J51" i="8"/>
  <c r="J50" i="8"/>
  <c r="J49" i="8"/>
  <c r="J48" i="8"/>
  <c r="J47" i="8"/>
  <c r="J46" i="8"/>
  <c r="J45" i="8"/>
  <c r="J44" i="8"/>
  <c r="J42" i="8"/>
  <c r="J41" i="8"/>
  <c r="J40" i="8"/>
  <c r="J39" i="8"/>
  <c r="J38" i="8"/>
  <c r="J36" i="8"/>
  <c r="J35" i="8"/>
  <c r="J34" i="8"/>
  <c r="J33" i="8"/>
  <c r="J32" i="8"/>
  <c r="J31" i="8"/>
  <c r="J30" i="8"/>
  <c r="J29" i="8"/>
  <c r="J28" i="8"/>
  <c r="J27" i="8"/>
  <c r="J26" i="8"/>
  <c r="J25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" i="8"/>
  <c r="I4" i="8"/>
  <c r="H4" i="8"/>
  <c r="G4" i="8"/>
  <c r="F4" i="8"/>
  <c r="E4" i="8"/>
  <c r="D4" i="8"/>
  <c r="I237" i="7"/>
  <c r="AL21" i="11" s="1"/>
  <c r="I236" i="7"/>
  <c r="AL20" i="11" s="1"/>
  <c r="I235" i="7"/>
  <c r="AL19" i="11" s="1"/>
  <c r="I234" i="7"/>
  <c r="AL18" i="11" s="1"/>
  <c r="I233" i="7"/>
  <c r="AL17" i="11" s="1"/>
  <c r="D232" i="7"/>
  <c r="J232" i="7" s="1"/>
  <c r="I231" i="7"/>
  <c r="AL15" i="11" s="1"/>
  <c r="I230" i="7"/>
  <c r="AL14" i="11" s="1"/>
  <c r="I229" i="7"/>
  <c r="AL13" i="11" s="1"/>
  <c r="I228" i="7"/>
  <c r="AL12" i="11" s="1"/>
  <c r="I227" i="7"/>
  <c r="AL11" i="11" s="1"/>
  <c r="I226" i="7"/>
  <c r="AL10" i="11" s="1"/>
  <c r="I225" i="7"/>
  <c r="AL9" i="11" s="1"/>
  <c r="I224" i="7"/>
  <c r="AL8" i="11" s="1"/>
  <c r="I223" i="7"/>
  <c r="AL7" i="11" s="1"/>
  <c r="I222" i="7"/>
  <c r="AL6" i="11" s="1"/>
  <c r="I221" i="7"/>
  <c r="AL5" i="11" s="1"/>
  <c r="I220" i="7"/>
  <c r="AL4" i="11" s="1"/>
  <c r="D220" i="7"/>
  <c r="J220" i="7" s="1"/>
  <c r="J218" i="7"/>
  <c r="F217" i="7"/>
  <c r="I217" i="7" s="1"/>
  <c r="AI21" i="11" s="1"/>
  <c r="I216" i="7"/>
  <c r="AI20" i="11" s="1"/>
  <c r="I215" i="7"/>
  <c r="AI19" i="11" s="1"/>
  <c r="I214" i="7"/>
  <c r="AI18" i="11" s="1"/>
  <c r="I213" i="7"/>
  <c r="AI17" i="11" s="1"/>
  <c r="D212" i="7"/>
  <c r="J212" i="7" s="1"/>
  <c r="I211" i="7"/>
  <c r="AI15" i="11" s="1"/>
  <c r="I210" i="7"/>
  <c r="AI14" i="11" s="1"/>
  <c r="I209" i="7"/>
  <c r="AI13" i="11" s="1"/>
  <c r="I208" i="7"/>
  <c r="AI12" i="11" s="1"/>
  <c r="I207" i="7"/>
  <c r="AI11" i="11" s="1"/>
  <c r="I206" i="7"/>
  <c r="AI10" i="11" s="1"/>
  <c r="I205" i="7"/>
  <c r="AI9" i="11" s="1"/>
  <c r="I204" i="7"/>
  <c r="AI8" i="11" s="1"/>
  <c r="I203" i="7"/>
  <c r="AI7" i="11" s="1"/>
  <c r="I202" i="7"/>
  <c r="AI6" i="11" s="1"/>
  <c r="I201" i="7"/>
  <c r="AI5" i="11" s="1"/>
  <c r="I200" i="7"/>
  <c r="AI4" i="11" s="1"/>
  <c r="D200" i="7"/>
  <c r="J200" i="7" s="1"/>
  <c r="J198" i="7"/>
  <c r="F197" i="7"/>
  <c r="I197" i="7" s="1"/>
  <c r="AF21" i="11" s="1"/>
  <c r="I196" i="7"/>
  <c r="AF20" i="11" s="1"/>
  <c r="I195" i="7"/>
  <c r="AF19" i="11" s="1"/>
  <c r="F194" i="7"/>
  <c r="I194" i="7" s="1"/>
  <c r="AF18" i="11" s="1"/>
  <c r="I193" i="7"/>
  <c r="AF17" i="11" s="1"/>
  <c r="D192" i="7"/>
  <c r="J192" i="7" s="1"/>
  <c r="I191" i="7"/>
  <c r="AF15" i="11" s="1"/>
  <c r="I190" i="7"/>
  <c r="AF14" i="11" s="1"/>
  <c r="I189" i="7"/>
  <c r="AF13" i="11" s="1"/>
  <c r="I188" i="7"/>
  <c r="AF12" i="11" s="1"/>
  <c r="I187" i="7"/>
  <c r="AF11" i="11" s="1"/>
  <c r="I186" i="7"/>
  <c r="AF10" i="11" s="1"/>
  <c r="I185" i="7"/>
  <c r="AF9" i="11" s="1"/>
  <c r="I184" i="7"/>
  <c r="AF8" i="11" s="1"/>
  <c r="I183" i="7"/>
  <c r="AF7" i="11" s="1"/>
  <c r="D183" i="7"/>
  <c r="J183" i="7" s="1"/>
  <c r="I182" i="7"/>
  <c r="AF6" i="11" s="1"/>
  <c r="I181" i="7"/>
  <c r="AF5" i="11" s="1"/>
  <c r="I180" i="7"/>
  <c r="AF4" i="11" s="1"/>
  <c r="D180" i="7"/>
  <c r="J180" i="7" s="1"/>
  <c r="J178" i="7"/>
  <c r="F177" i="7"/>
  <c r="I177" i="7" s="1"/>
  <c r="AC21" i="11" s="1"/>
  <c r="I176" i="7"/>
  <c r="AC20" i="11" s="1"/>
  <c r="F175" i="7"/>
  <c r="I175" i="7" s="1"/>
  <c r="AC19" i="11" s="1"/>
  <c r="F174" i="7"/>
  <c r="I174" i="7" s="1"/>
  <c r="AC18" i="11" s="1"/>
  <c r="I173" i="7"/>
  <c r="AC17" i="11" s="1"/>
  <c r="D172" i="7"/>
  <c r="J172" i="7" s="1"/>
  <c r="I171" i="7"/>
  <c r="AC15" i="11" s="1"/>
  <c r="I170" i="7"/>
  <c r="AC14" i="11" s="1"/>
  <c r="I169" i="7"/>
  <c r="AC13" i="11" s="1"/>
  <c r="I168" i="7"/>
  <c r="AC12" i="11" s="1"/>
  <c r="I167" i="7"/>
  <c r="AC11" i="11" s="1"/>
  <c r="I166" i="7"/>
  <c r="AC10" i="11" s="1"/>
  <c r="I165" i="7"/>
  <c r="AC9" i="11" s="1"/>
  <c r="I164" i="7"/>
  <c r="AC8" i="11" s="1"/>
  <c r="I163" i="7"/>
  <c r="AC7" i="11" s="1"/>
  <c r="AD7" i="11" s="1"/>
  <c r="D163" i="7"/>
  <c r="J163" i="7" s="1"/>
  <c r="I162" i="7"/>
  <c r="AC6" i="11" s="1"/>
  <c r="I161" i="7"/>
  <c r="AC5" i="11" s="1"/>
  <c r="I160" i="7"/>
  <c r="AC4" i="11" s="1"/>
  <c r="D160" i="7"/>
  <c r="J160" i="7" s="1"/>
  <c r="J158" i="7"/>
  <c r="F157" i="7"/>
  <c r="I157" i="7" s="1"/>
  <c r="Z21" i="11" s="1"/>
  <c r="I156" i="7"/>
  <c r="Z20" i="11" s="1"/>
  <c r="F155" i="7"/>
  <c r="I155" i="7" s="1"/>
  <c r="Z19" i="11" s="1"/>
  <c r="F154" i="7"/>
  <c r="I154" i="7" s="1"/>
  <c r="Z18" i="11" s="1"/>
  <c r="I153" i="7"/>
  <c r="Z17" i="11" s="1"/>
  <c r="D152" i="7"/>
  <c r="J152" i="7" s="1"/>
  <c r="I151" i="7"/>
  <c r="Z15" i="11" s="1"/>
  <c r="I150" i="7"/>
  <c r="Z14" i="11" s="1"/>
  <c r="I149" i="7"/>
  <c r="Z13" i="11" s="1"/>
  <c r="I148" i="7"/>
  <c r="Z12" i="11" s="1"/>
  <c r="I147" i="7"/>
  <c r="Z11" i="11" s="1"/>
  <c r="I146" i="7"/>
  <c r="Z10" i="11" s="1"/>
  <c r="I145" i="7"/>
  <c r="Z9" i="11" s="1"/>
  <c r="I144" i="7"/>
  <c r="Z8" i="11" s="1"/>
  <c r="I143" i="7"/>
  <c r="Z7" i="11" s="1"/>
  <c r="I142" i="7"/>
  <c r="Z6" i="11" s="1"/>
  <c r="I141" i="7"/>
  <c r="Z5" i="11" s="1"/>
  <c r="I140" i="7"/>
  <c r="Z4" i="11" s="1"/>
  <c r="D140" i="7"/>
  <c r="J140" i="7" s="1"/>
  <c r="F138" i="7"/>
  <c r="I138" i="7" s="1"/>
  <c r="W21" i="11" s="1"/>
  <c r="I137" i="7"/>
  <c r="W20" i="11" s="1"/>
  <c r="F136" i="7"/>
  <c r="I136" i="7" s="1"/>
  <c r="W19" i="11" s="1"/>
  <c r="F135" i="7"/>
  <c r="I135" i="7" s="1"/>
  <c r="W18" i="11" s="1"/>
  <c r="I134" i="7"/>
  <c r="W17" i="11" s="1"/>
  <c r="D133" i="7"/>
  <c r="J133" i="7" s="1"/>
  <c r="I132" i="7"/>
  <c r="W15" i="11" s="1"/>
  <c r="I131" i="7"/>
  <c r="W14" i="11" s="1"/>
  <c r="I130" i="7"/>
  <c r="W13" i="11" s="1"/>
  <c r="I129" i="7"/>
  <c r="W12" i="11" s="1"/>
  <c r="I128" i="7"/>
  <c r="W11" i="11" s="1"/>
  <c r="I127" i="7"/>
  <c r="W10" i="11" s="1"/>
  <c r="I126" i="7"/>
  <c r="W9" i="11" s="1"/>
  <c r="I125" i="7"/>
  <c r="W8" i="11" s="1"/>
  <c r="I124" i="7"/>
  <c r="W7" i="11" s="1"/>
  <c r="I123" i="7"/>
  <c r="W6" i="11" s="1"/>
  <c r="I122" i="7"/>
  <c r="W5" i="11" s="1"/>
  <c r="I121" i="7"/>
  <c r="W4" i="11" s="1"/>
  <c r="D121" i="7"/>
  <c r="J121" i="7" s="1"/>
  <c r="I119" i="7"/>
  <c r="T21" i="11" s="1"/>
  <c r="I118" i="7"/>
  <c r="T20" i="11" s="1"/>
  <c r="F117" i="7"/>
  <c r="I117" i="7" s="1"/>
  <c r="T19" i="11" s="1"/>
  <c r="F116" i="7"/>
  <c r="I116" i="7" s="1"/>
  <c r="T18" i="11" s="1"/>
  <c r="I115" i="7"/>
  <c r="T17" i="11" s="1"/>
  <c r="D114" i="7"/>
  <c r="J114" i="7" s="1"/>
  <c r="I113" i="7"/>
  <c r="T15" i="11" s="1"/>
  <c r="I112" i="7"/>
  <c r="T14" i="11" s="1"/>
  <c r="I111" i="7"/>
  <c r="T13" i="11" s="1"/>
  <c r="I110" i="7"/>
  <c r="T12" i="11" s="1"/>
  <c r="I109" i="7"/>
  <c r="T11" i="11" s="1"/>
  <c r="I108" i="7"/>
  <c r="T10" i="11" s="1"/>
  <c r="I107" i="7"/>
  <c r="T9" i="11" s="1"/>
  <c r="I106" i="7"/>
  <c r="T8" i="11" s="1"/>
  <c r="I105" i="7"/>
  <c r="T7" i="11" s="1"/>
  <c r="I104" i="7"/>
  <c r="T6" i="11" s="1"/>
  <c r="I103" i="7"/>
  <c r="T5" i="11" s="1"/>
  <c r="I102" i="7"/>
  <c r="T4" i="11" s="1"/>
  <c r="D102" i="7"/>
  <c r="J102" i="7" s="1"/>
  <c r="I100" i="7"/>
  <c r="Q21" i="11" s="1"/>
  <c r="I99" i="7"/>
  <c r="Q20" i="11" s="1"/>
  <c r="F98" i="7"/>
  <c r="I98" i="7" s="1"/>
  <c r="Q19" i="11" s="1"/>
  <c r="F97" i="7"/>
  <c r="I97" i="7" s="1"/>
  <c r="Q18" i="11" s="1"/>
  <c r="I96" i="7"/>
  <c r="Q17" i="11" s="1"/>
  <c r="D95" i="7"/>
  <c r="J95" i="7" s="1"/>
  <c r="I94" i="7"/>
  <c r="Q15" i="11" s="1"/>
  <c r="I93" i="7"/>
  <c r="Q14" i="11" s="1"/>
  <c r="I92" i="7"/>
  <c r="Q13" i="11" s="1"/>
  <c r="I91" i="7"/>
  <c r="Q12" i="11" s="1"/>
  <c r="I90" i="7"/>
  <c r="Q11" i="11" s="1"/>
  <c r="I89" i="7"/>
  <c r="Q10" i="11" s="1"/>
  <c r="I88" i="7"/>
  <c r="Q9" i="11" s="1"/>
  <c r="I87" i="7"/>
  <c r="Q8" i="11" s="1"/>
  <c r="I86" i="7"/>
  <c r="Q7" i="11" s="1"/>
  <c r="I85" i="7"/>
  <c r="Q6" i="11" s="1"/>
  <c r="I84" i="7"/>
  <c r="Q5" i="11" s="1"/>
  <c r="I83" i="7"/>
  <c r="Q4" i="11" s="1"/>
  <c r="D83" i="7"/>
  <c r="J83" i="7" s="1"/>
  <c r="F81" i="7"/>
  <c r="I81" i="7" s="1"/>
  <c r="N21" i="11" s="1"/>
  <c r="I80" i="7"/>
  <c r="N20" i="11" s="1"/>
  <c r="F79" i="7"/>
  <c r="I79" i="7" s="1"/>
  <c r="N19" i="11" s="1"/>
  <c r="F78" i="7"/>
  <c r="I78" i="7" s="1"/>
  <c r="N18" i="11" s="1"/>
  <c r="I77" i="7"/>
  <c r="N17" i="11" s="1"/>
  <c r="D76" i="7"/>
  <c r="J76" i="7" s="1"/>
  <c r="I75" i="7"/>
  <c r="N15" i="11" s="1"/>
  <c r="I74" i="7"/>
  <c r="N14" i="11" s="1"/>
  <c r="I73" i="7"/>
  <c r="N13" i="11" s="1"/>
  <c r="I72" i="7"/>
  <c r="N12" i="11" s="1"/>
  <c r="I71" i="7"/>
  <c r="N11" i="11" s="1"/>
  <c r="I70" i="7"/>
  <c r="N10" i="11" s="1"/>
  <c r="I69" i="7"/>
  <c r="N9" i="11" s="1"/>
  <c r="I68" i="7"/>
  <c r="N8" i="11" s="1"/>
  <c r="I67" i="7"/>
  <c r="N7" i="11" s="1"/>
  <c r="I66" i="7"/>
  <c r="N6" i="11" s="1"/>
  <c r="I65" i="7"/>
  <c r="N5" i="11" s="1"/>
  <c r="I64" i="7"/>
  <c r="N4" i="11" s="1"/>
  <c r="D64" i="7"/>
  <c r="J64" i="7" s="1"/>
  <c r="I62" i="7"/>
  <c r="K21" i="11" s="1"/>
  <c r="I61" i="7"/>
  <c r="K20" i="11" s="1"/>
  <c r="F60" i="7"/>
  <c r="I60" i="7" s="1"/>
  <c r="K19" i="11" s="1"/>
  <c r="F59" i="7"/>
  <c r="I59" i="7" s="1"/>
  <c r="K18" i="11" s="1"/>
  <c r="I58" i="7"/>
  <c r="K17" i="11" s="1"/>
  <c r="D57" i="7"/>
  <c r="J57" i="7" s="1"/>
  <c r="I56" i="7"/>
  <c r="K15" i="11" s="1"/>
  <c r="I55" i="7"/>
  <c r="K14" i="11" s="1"/>
  <c r="I54" i="7"/>
  <c r="K13" i="11" s="1"/>
  <c r="I53" i="7"/>
  <c r="K12" i="11" s="1"/>
  <c r="I52" i="7"/>
  <c r="K11" i="11" s="1"/>
  <c r="I51" i="7"/>
  <c r="K10" i="11" s="1"/>
  <c r="I50" i="7"/>
  <c r="K9" i="11" s="1"/>
  <c r="I49" i="7"/>
  <c r="K8" i="11" s="1"/>
  <c r="I48" i="7"/>
  <c r="K7" i="11" s="1"/>
  <c r="I47" i="7"/>
  <c r="K6" i="11" s="1"/>
  <c r="I46" i="7"/>
  <c r="K5" i="11" s="1"/>
  <c r="I45" i="7"/>
  <c r="D45" i="7"/>
  <c r="J45" i="7" s="1"/>
  <c r="I43" i="7"/>
  <c r="H21" i="11" s="1"/>
  <c r="I42" i="7"/>
  <c r="H20" i="11" s="1"/>
  <c r="I41" i="7"/>
  <c r="H19" i="11" s="1"/>
  <c r="I40" i="7"/>
  <c r="H18" i="11" s="1"/>
  <c r="I39" i="7"/>
  <c r="H17" i="11" s="1"/>
  <c r="D38" i="7"/>
  <c r="J38" i="7" s="1"/>
  <c r="I37" i="7"/>
  <c r="H15" i="11" s="1"/>
  <c r="I36" i="7"/>
  <c r="H14" i="11" s="1"/>
  <c r="I35" i="7"/>
  <c r="H13" i="11" s="1"/>
  <c r="I34" i="7"/>
  <c r="H12" i="11" s="1"/>
  <c r="I33" i="7"/>
  <c r="H11" i="11" s="1"/>
  <c r="I32" i="7"/>
  <c r="H10" i="11" s="1"/>
  <c r="G31" i="7"/>
  <c r="I31" i="7" s="1"/>
  <c r="H9" i="11" s="1"/>
  <c r="I30" i="7"/>
  <c r="H8" i="11" s="1"/>
  <c r="I29" i="7"/>
  <c r="H7" i="11" s="1"/>
  <c r="I28" i="7"/>
  <c r="H6" i="11" s="1"/>
  <c r="I27" i="7"/>
  <c r="H5" i="11" s="1"/>
  <c r="I26" i="7"/>
  <c r="H4" i="11" s="1"/>
  <c r="D26" i="7"/>
  <c r="J26" i="7" s="1"/>
  <c r="I23" i="7"/>
  <c r="E21" i="11" s="1"/>
  <c r="D23" i="7"/>
  <c r="J23" i="7" s="1"/>
  <c r="I22" i="7"/>
  <c r="E20" i="11" s="1"/>
  <c r="D22" i="7"/>
  <c r="J22" i="7" s="1"/>
  <c r="I21" i="7"/>
  <c r="E19" i="11" s="1"/>
  <c r="D21" i="7"/>
  <c r="J21" i="7" s="1"/>
  <c r="I20" i="7"/>
  <c r="E18" i="11" s="1"/>
  <c r="D20" i="7"/>
  <c r="J20" i="7" s="1"/>
  <c r="I19" i="7"/>
  <c r="E17" i="11" s="1"/>
  <c r="D19" i="7"/>
  <c r="J19" i="7" s="1"/>
  <c r="D18" i="7"/>
  <c r="J18" i="7" s="1"/>
  <c r="I17" i="7"/>
  <c r="E15" i="11" s="1"/>
  <c r="D17" i="7"/>
  <c r="J17" i="7" s="1"/>
  <c r="I16" i="7"/>
  <c r="E14" i="11" s="1"/>
  <c r="D16" i="7"/>
  <c r="J16" i="7" s="1"/>
  <c r="I15" i="7"/>
  <c r="E13" i="11" s="1"/>
  <c r="D15" i="7"/>
  <c r="J15" i="7" s="1"/>
  <c r="I14" i="7"/>
  <c r="E12" i="11" s="1"/>
  <c r="D14" i="7"/>
  <c r="J14" i="7" s="1"/>
  <c r="I13" i="7"/>
  <c r="E11" i="11" s="1"/>
  <c r="D13" i="7"/>
  <c r="J13" i="7" s="1"/>
  <c r="I12" i="7"/>
  <c r="E10" i="11" s="1"/>
  <c r="D12" i="7"/>
  <c r="J12" i="7" s="1"/>
  <c r="I11" i="7"/>
  <c r="E9" i="11" s="1"/>
  <c r="D11" i="7"/>
  <c r="J11" i="7" s="1"/>
  <c r="I10" i="7"/>
  <c r="E8" i="11" s="1"/>
  <c r="D10" i="7"/>
  <c r="J10" i="7" s="1"/>
  <c r="E9" i="7"/>
  <c r="I9" i="7" s="1"/>
  <c r="E7" i="11" s="1"/>
  <c r="D9" i="7"/>
  <c r="J9" i="7" s="1"/>
  <c r="I8" i="7"/>
  <c r="E6" i="11" s="1"/>
  <c r="D8" i="7"/>
  <c r="J8" i="7" s="1"/>
  <c r="I7" i="7"/>
  <c r="E5" i="11" s="1"/>
  <c r="D7" i="7"/>
  <c r="J7" i="7" s="1"/>
  <c r="I6" i="7"/>
  <c r="E4" i="11" s="1"/>
  <c r="D6" i="7"/>
  <c r="J6" i="7" s="1"/>
  <c r="I4" i="7"/>
  <c r="H4" i="7"/>
  <c r="G4" i="7"/>
  <c r="F4" i="7"/>
  <c r="E4" i="7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F69" i="6"/>
  <c r="J69" i="6" s="1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F30" i="6"/>
  <c r="J30" i="6" s="1"/>
  <c r="J29" i="6"/>
  <c r="J28" i="6"/>
  <c r="J27" i="6"/>
  <c r="J26" i="6"/>
  <c r="J25" i="6"/>
  <c r="I24" i="6"/>
  <c r="J24" i="6" s="1"/>
  <c r="J23" i="6"/>
  <c r="J22" i="6"/>
  <c r="J21" i="6"/>
  <c r="J20" i="6"/>
  <c r="J19" i="6"/>
  <c r="J18" i="6"/>
  <c r="J17" i="6"/>
  <c r="J16" i="6"/>
  <c r="J15" i="6"/>
  <c r="J14" i="6"/>
  <c r="F13" i="6"/>
  <c r="J13" i="6" s="1"/>
  <c r="J12" i="6"/>
  <c r="J11" i="6"/>
  <c r="J10" i="6"/>
  <c r="J9" i="6"/>
  <c r="J8" i="6"/>
  <c r="J7" i="6"/>
  <c r="J6" i="6"/>
  <c r="J5" i="6"/>
  <c r="J4" i="6"/>
  <c r="I4" i="6"/>
  <c r="H4" i="6"/>
  <c r="G4" i="6"/>
  <c r="F4" i="6"/>
  <c r="X35" i="5"/>
  <c r="N34" i="5"/>
  <c r="J34" i="5"/>
  <c r="H34" i="5"/>
  <c r="R33" i="5"/>
  <c r="J33" i="5"/>
  <c r="H33" i="5"/>
  <c r="J32" i="5"/>
  <c r="H32" i="5"/>
  <c r="T31" i="5"/>
  <c r="R31" i="5"/>
  <c r="L31" i="5"/>
  <c r="J31" i="5"/>
  <c r="R30" i="5"/>
  <c r="L30" i="5"/>
  <c r="H30" i="5"/>
  <c r="R29" i="5"/>
  <c r="N29" i="5"/>
  <c r="J29" i="5"/>
  <c r="H29" i="5"/>
  <c r="T28" i="5"/>
  <c r="N28" i="5"/>
  <c r="L28" i="5"/>
  <c r="H28" i="5"/>
  <c r="T27" i="5"/>
  <c r="R27" i="5"/>
  <c r="R26" i="5"/>
  <c r="N26" i="5"/>
  <c r="L26" i="5"/>
  <c r="N25" i="5"/>
  <c r="J25" i="5"/>
  <c r="T24" i="5"/>
  <c r="N24" i="5"/>
  <c r="L24" i="5"/>
  <c r="J24" i="5"/>
  <c r="T23" i="5"/>
  <c r="R23" i="5"/>
  <c r="L23" i="5"/>
  <c r="J23" i="5"/>
  <c r="N22" i="5"/>
  <c r="L22" i="5"/>
  <c r="J22" i="5"/>
  <c r="T21" i="5"/>
  <c r="N21" i="5"/>
  <c r="T20" i="5"/>
  <c r="R20" i="5"/>
  <c r="N20" i="5"/>
  <c r="L20" i="5"/>
  <c r="J20" i="5"/>
  <c r="H20" i="5"/>
  <c r="T19" i="5"/>
  <c r="J19" i="5"/>
  <c r="H19" i="5"/>
  <c r="J18" i="5"/>
  <c r="T17" i="5"/>
  <c r="N17" i="5"/>
  <c r="J17" i="5"/>
  <c r="L16" i="5"/>
  <c r="J16" i="5"/>
  <c r="H16" i="5"/>
  <c r="B35" i="5"/>
  <c r="R15" i="5"/>
  <c r="R35" i="5" s="1"/>
  <c r="L15" i="5"/>
  <c r="H15" i="5"/>
  <c r="N14" i="5"/>
  <c r="L14" i="5"/>
  <c r="T13" i="5"/>
  <c r="T35" i="5" s="1"/>
  <c r="N13" i="5"/>
  <c r="L13" i="5"/>
  <c r="J13" i="5"/>
  <c r="H13" i="5"/>
  <c r="L12" i="5"/>
  <c r="H12" i="5"/>
  <c r="V11" i="5"/>
  <c r="N11" i="5"/>
  <c r="N10" i="5"/>
  <c r="L9" i="5"/>
  <c r="L8" i="5"/>
  <c r="V7" i="5"/>
  <c r="V35" i="5" s="1"/>
  <c r="N7" i="5"/>
  <c r="N6" i="5"/>
  <c r="L6" i="5"/>
  <c r="L35" i="5" s="1"/>
  <c r="J6" i="5"/>
  <c r="H6" i="5"/>
  <c r="N5" i="5"/>
  <c r="N35" i="5" s="1"/>
  <c r="J5" i="5"/>
  <c r="P4" i="5"/>
  <c r="P35" i="5" s="1"/>
  <c r="J4" i="5"/>
  <c r="J35" i="5" s="1"/>
  <c r="H4" i="5"/>
  <c r="H35" i="5" s="1"/>
  <c r="F35" i="5"/>
  <c r="D35" i="5"/>
  <c r="M2" i="5"/>
  <c r="K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H3" i="4"/>
  <c r="G3" i="4"/>
  <c r="F3" i="4"/>
  <c r="E3" i="4"/>
  <c r="U372" i="3"/>
  <c r="R372" i="3"/>
  <c r="M372" i="3"/>
  <c r="O372" i="3" s="1"/>
  <c r="E372" i="3"/>
  <c r="D372" i="3"/>
  <c r="F372" i="3" s="1"/>
  <c r="C372" i="3"/>
  <c r="U371" i="3"/>
  <c r="R371" i="3"/>
  <c r="M371" i="3"/>
  <c r="O371" i="3" s="1"/>
  <c r="E371" i="3"/>
  <c r="D371" i="3"/>
  <c r="F371" i="3" s="1"/>
  <c r="C371" i="3"/>
  <c r="U370" i="3"/>
  <c r="R370" i="3"/>
  <c r="M370" i="3"/>
  <c r="O370" i="3" s="1"/>
  <c r="E370" i="3"/>
  <c r="D370" i="3"/>
  <c r="F370" i="3" s="1"/>
  <c r="C370" i="3"/>
  <c r="W369" i="3"/>
  <c r="U369" i="3"/>
  <c r="R369" i="3"/>
  <c r="M369" i="3"/>
  <c r="O369" i="3" s="1"/>
  <c r="E369" i="3"/>
  <c r="D369" i="3"/>
  <c r="F369" i="3" s="1"/>
  <c r="C369" i="3"/>
  <c r="U368" i="3"/>
  <c r="R368" i="3"/>
  <c r="M368" i="3"/>
  <c r="O368" i="3" s="1"/>
  <c r="E368" i="3"/>
  <c r="D368" i="3"/>
  <c r="F368" i="3" s="1"/>
  <c r="C368" i="3"/>
  <c r="U367" i="3"/>
  <c r="R367" i="3"/>
  <c r="M367" i="3"/>
  <c r="O367" i="3" s="1"/>
  <c r="E367" i="3"/>
  <c r="D367" i="3"/>
  <c r="F367" i="3" s="1"/>
  <c r="C367" i="3"/>
  <c r="U366" i="3"/>
  <c r="R366" i="3"/>
  <c r="M366" i="3"/>
  <c r="O366" i="3" s="1"/>
  <c r="E366" i="3"/>
  <c r="D366" i="3"/>
  <c r="F366" i="3" s="1"/>
  <c r="C366" i="3"/>
  <c r="U365" i="3"/>
  <c r="R365" i="3"/>
  <c r="M365" i="3"/>
  <c r="O365" i="3" s="1"/>
  <c r="E365" i="3"/>
  <c r="D365" i="3"/>
  <c r="F365" i="3" s="1"/>
  <c r="C365" i="3"/>
  <c r="U364" i="3"/>
  <c r="R364" i="3"/>
  <c r="M364" i="3"/>
  <c r="O364" i="3" s="1"/>
  <c r="E364" i="3"/>
  <c r="D364" i="3"/>
  <c r="F364" i="3" s="1"/>
  <c r="C364" i="3"/>
  <c r="U363" i="3"/>
  <c r="R363" i="3"/>
  <c r="M363" i="3"/>
  <c r="O363" i="3" s="1"/>
  <c r="E363" i="3"/>
  <c r="D363" i="3"/>
  <c r="F363" i="3" s="1"/>
  <c r="C363" i="3"/>
  <c r="U362" i="3"/>
  <c r="R362" i="3"/>
  <c r="M362" i="3"/>
  <c r="O362" i="3" s="1"/>
  <c r="E362" i="3"/>
  <c r="D362" i="3"/>
  <c r="F362" i="3" s="1"/>
  <c r="C362" i="3"/>
  <c r="U361" i="3"/>
  <c r="R361" i="3"/>
  <c r="M361" i="3"/>
  <c r="O361" i="3" s="1"/>
  <c r="E361" i="3"/>
  <c r="D361" i="3"/>
  <c r="F361" i="3" s="1"/>
  <c r="C361" i="3"/>
  <c r="U360" i="3"/>
  <c r="R360" i="3"/>
  <c r="M360" i="3"/>
  <c r="O360" i="3" s="1"/>
  <c r="E360" i="3"/>
  <c r="D360" i="3"/>
  <c r="F360" i="3" s="1"/>
  <c r="C360" i="3"/>
  <c r="U359" i="3"/>
  <c r="R359" i="3"/>
  <c r="M359" i="3"/>
  <c r="O359" i="3" s="1"/>
  <c r="E359" i="3"/>
  <c r="D359" i="3"/>
  <c r="F359" i="3" s="1"/>
  <c r="C359" i="3"/>
  <c r="U358" i="3"/>
  <c r="R358" i="3"/>
  <c r="M358" i="3"/>
  <c r="O358" i="3" s="1"/>
  <c r="E358" i="3"/>
  <c r="D358" i="3"/>
  <c r="F358" i="3" s="1"/>
  <c r="C358" i="3"/>
  <c r="U357" i="3"/>
  <c r="R357" i="3"/>
  <c r="M357" i="3"/>
  <c r="O357" i="3" s="1"/>
  <c r="E357" i="3"/>
  <c r="D357" i="3"/>
  <c r="F357" i="3" s="1"/>
  <c r="C357" i="3"/>
  <c r="U356" i="3"/>
  <c r="R356" i="3"/>
  <c r="M356" i="3"/>
  <c r="O356" i="3" s="1"/>
  <c r="E356" i="3"/>
  <c r="D356" i="3"/>
  <c r="F356" i="3" s="1"/>
  <c r="C356" i="3"/>
  <c r="U355" i="3"/>
  <c r="R355" i="3"/>
  <c r="M355" i="3"/>
  <c r="O355" i="3" s="1"/>
  <c r="E355" i="3"/>
  <c r="D355" i="3"/>
  <c r="F355" i="3" s="1"/>
  <c r="C355" i="3"/>
  <c r="U354" i="3"/>
  <c r="R354" i="3"/>
  <c r="M354" i="3"/>
  <c r="O354" i="3" s="1"/>
  <c r="E354" i="3"/>
  <c r="D354" i="3"/>
  <c r="F354" i="3" s="1"/>
  <c r="C354" i="3"/>
  <c r="U353" i="3"/>
  <c r="R353" i="3"/>
  <c r="M353" i="3"/>
  <c r="O353" i="3" s="1"/>
  <c r="E353" i="3"/>
  <c r="D353" i="3"/>
  <c r="F353" i="3" s="1"/>
  <c r="C353" i="3"/>
  <c r="U352" i="3"/>
  <c r="R352" i="3"/>
  <c r="M352" i="3"/>
  <c r="O352" i="3" s="1"/>
  <c r="E352" i="3"/>
  <c r="D352" i="3"/>
  <c r="F352" i="3" s="1"/>
  <c r="C352" i="3"/>
  <c r="U351" i="3"/>
  <c r="R351" i="3"/>
  <c r="M351" i="3"/>
  <c r="O351" i="3" s="1"/>
  <c r="E351" i="3"/>
  <c r="D351" i="3"/>
  <c r="F351" i="3" s="1"/>
  <c r="C351" i="3"/>
  <c r="U350" i="3"/>
  <c r="R350" i="3"/>
  <c r="M350" i="3"/>
  <c r="O350" i="3" s="1"/>
  <c r="E350" i="3"/>
  <c r="D350" i="3"/>
  <c r="F350" i="3" s="1"/>
  <c r="C350" i="3"/>
  <c r="U349" i="3"/>
  <c r="R349" i="3"/>
  <c r="M349" i="3"/>
  <c r="O349" i="3" s="1"/>
  <c r="E349" i="3"/>
  <c r="D349" i="3"/>
  <c r="F349" i="3" s="1"/>
  <c r="C349" i="3"/>
  <c r="U348" i="3"/>
  <c r="R348" i="3"/>
  <c r="M348" i="3"/>
  <c r="O348" i="3" s="1"/>
  <c r="E348" i="3"/>
  <c r="D348" i="3"/>
  <c r="F348" i="3" s="1"/>
  <c r="C348" i="3"/>
  <c r="U347" i="3"/>
  <c r="R347" i="3"/>
  <c r="M347" i="3"/>
  <c r="O347" i="3" s="1"/>
  <c r="E347" i="3"/>
  <c r="D347" i="3"/>
  <c r="F347" i="3" s="1"/>
  <c r="C347" i="3"/>
  <c r="U346" i="3"/>
  <c r="R346" i="3"/>
  <c r="M346" i="3"/>
  <c r="O346" i="3" s="1"/>
  <c r="E346" i="3"/>
  <c r="D346" i="3"/>
  <c r="F346" i="3" s="1"/>
  <c r="C346" i="3"/>
  <c r="U345" i="3"/>
  <c r="R345" i="3"/>
  <c r="M345" i="3"/>
  <c r="O345" i="3" s="1"/>
  <c r="E345" i="3"/>
  <c r="D345" i="3"/>
  <c r="F345" i="3" s="1"/>
  <c r="C345" i="3"/>
  <c r="U344" i="3"/>
  <c r="R344" i="3"/>
  <c r="M344" i="3"/>
  <c r="O344" i="3" s="1"/>
  <c r="E344" i="3"/>
  <c r="D344" i="3"/>
  <c r="F344" i="3" s="1"/>
  <c r="C344" i="3"/>
  <c r="U343" i="3"/>
  <c r="R343" i="3"/>
  <c r="M343" i="3"/>
  <c r="O343" i="3" s="1"/>
  <c r="E343" i="3"/>
  <c r="D343" i="3"/>
  <c r="F343" i="3" s="1"/>
  <c r="C343" i="3"/>
  <c r="U342" i="3"/>
  <c r="R342" i="3"/>
  <c r="M342" i="3"/>
  <c r="O342" i="3" s="1"/>
  <c r="E342" i="3"/>
  <c r="D342" i="3"/>
  <c r="F342" i="3" s="1"/>
  <c r="C342" i="3"/>
  <c r="U341" i="3"/>
  <c r="R341" i="3"/>
  <c r="M341" i="3"/>
  <c r="O341" i="3" s="1"/>
  <c r="W370" i="3" s="1"/>
  <c r="E341" i="3"/>
  <c r="D341" i="3"/>
  <c r="F341" i="3" s="1"/>
  <c r="C341" i="3"/>
  <c r="W368" i="3" s="1"/>
  <c r="U340" i="3"/>
  <c r="R340" i="3"/>
  <c r="M340" i="3"/>
  <c r="O340" i="3" s="1"/>
  <c r="E340" i="3"/>
  <c r="D340" i="3"/>
  <c r="F340" i="3" s="1"/>
  <c r="C340" i="3"/>
  <c r="U339" i="3"/>
  <c r="R339" i="3"/>
  <c r="M339" i="3"/>
  <c r="O339" i="3" s="1"/>
  <c r="E339" i="3"/>
  <c r="D339" i="3"/>
  <c r="F339" i="3" s="1"/>
  <c r="C339" i="3"/>
  <c r="U338" i="3"/>
  <c r="R338" i="3"/>
  <c r="M338" i="3"/>
  <c r="O338" i="3" s="1"/>
  <c r="E338" i="3"/>
  <c r="D338" i="3"/>
  <c r="F338" i="3" s="1"/>
  <c r="C338" i="3"/>
  <c r="W337" i="3"/>
  <c r="U337" i="3"/>
  <c r="R337" i="3"/>
  <c r="M337" i="3"/>
  <c r="O337" i="3" s="1"/>
  <c r="E337" i="3"/>
  <c r="D337" i="3"/>
  <c r="F337" i="3" s="1"/>
  <c r="C337" i="3"/>
  <c r="U336" i="3"/>
  <c r="R336" i="3"/>
  <c r="M336" i="3"/>
  <c r="O336" i="3" s="1"/>
  <c r="E336" i="3"/>
  <c r="D336" i="3"/>
  <c r="F336" i="3" s="1"/>
  <c r="C336" i="3"/>
  <c r="U335" i="3"/>
  <c r="R335" i="3"/>
  <c r="M335" i="3"/>
  <c r="O335" i="3" s="1"/>
  <c r="E335" i="3"/>
  <c r="D335" i="3"/>
  <c r="F335" i="3" s="1"/>
  <c r="C335" i="3"/>
  <c r="U334" i="3"/>
  <c r="R334" i="3"/>
  <c r="M334" i="3"/>
  <c r="O334" i="3" s="1"/>
  <c r="E334" i="3"/>
  <c r="D334" i="3"/>
  <c r="F334" i="3" s="1"/>
  <c r="C334" i="3"/>
  <c r="U333" i="3"/>
  <c r="R333" i="3"/>
  <c r="M333" i="3"/>
  <c r="O333" i="3" s="1"/>
  <c r="E333" i="3"/>
  <c r="D333" i="3"/>
  <c r="F333" i="3" s="1"/>
  <c r="C333" i="3"/>
  <c r="U332" i="3"/>
  <c r="R332" i="3"/>
  <c r="M332" i="3"/>
  <c r="O332" i="3" s="1"/>
  <c r="E332" i="3"/>
  <c r="D332" i="3"/>
  <c r="F332" i="3" s="1"/>
  <c r="C332" i="3"/>
  <c r="U331" i="3"/>
  <c r="R331" i="3"/>
  <c r="M331" i="3"/>
  <c r="O331" i="3" s="1"/>
  <c r="E331" i="3"/>
  <c r="D331" i="3"/>
  <c r="F331" i="3" s="1"/>
  <c r="C331" i="3"/>
  <c r="U330" i="3"/>
  <c r="R330" i="3"/>
  <c r="M330" i="3"/>
  <c r="O330" i="3" s="1"/>
  <c r="E330" i="3"/>
  <c r="D330" i="3"/>
  <c r="F330" i="3" s="1"/>
  <c r="C330" i="3"/>
  <c r="U329" i="3"/>
  <c r="R329" i="3"/>
  <c r="M329" i="3"/>
  <c r="O329" i="3" s="1"/>
  <c r="E329" i="3"/>
  <c r="D329" i="3"/>
  <c r="F329" i="3" s="1"/>
  <c r="C329" i="3"/>
  <c r="U328" i="3"/>
  <c r="R328" i="3"/>
  <c r="M328" i="3"/>
  <c r="O328" i="3" s="1"/>
  <c r="E328" i="3"/>
  <c r="D328" i="3"/>
  <c r="F328" i="3" s="1"/>
  <c r="C328" i="3"/>
  <c r="U327" i="3"/>
  <c r="R327" i="3"/>
  <c r="M327" i="3"/>
  <c r="O327" i="3" s="1"/>
  <c r="E327" i="3"/>
  <c r="D327" i="3"/>
  <c r="F327" i="3" s="1"/>
  <c r="C327" i="3"/>
  <c r="U326" i="3"/>
  <c r="R326" i="3"/>
  <c r="M326" i="3"/>
  <c r="O326" i="3" s="1"/>
  <c r="E326" i="3"/>
  <c r="D326" i="3"/>
  <c r="F326" i="3" s="1"/>
  <c r="C326" i="3"/>
  <c r="U325" i="3"/>
  <c r="R325" i="3"/>
  <c r="M325" i="3"/>
  <c r="O325" i="3" s="1"/>
  <c r="E325" i="3"/>
  <c r="D325" i="3"/>
  <c r="F325" i="3" s="1"/>
  <c r="C325" i="3"/>
  <c r="U324" i="3"/>
  <c r="R324" i="3"/>
  <c r="M324" i="3"/>
  <c r="O324" i="3" s="1"/>
  <c r="E324" i="3"/>
  <c r="D324" i="3"/>
  <c r="F324" i="3" s="1"/>
  <c r="C324" i="3"/>
  <c r="U323" i="3"/>
  <c r="R323" i="3"/>
  <c r="M323" i="3"/>
  <c r="O323" i="3" s="1"/>
  <c r="E323" i="3"/>
  <c r="D323" i="3"/>
  <c r="F323" i="3" s="1"/>
  <c r="C323" i="3"/>
  <c r="U322" i="3"/>
  <c r="R322" i="3"/>
  <c r="M322" i="3"/>
  <c r="O322" i="3" s="1"/>
  <c r="E322" i="3"/>
  <c r="D322" i="3"/>
  <c r="F322" i="3" s="1"/>
  <c r="C322" i="3"/>
  <c r="U321" i="3"/>
  <c r="R321" i="3"/>
  <c r="M321" i="3"/>
  <c r="O321" i="3" s="1"/>
  <c r="E321" i="3"/>
  <c r="D321" i="3"/>
  <c r="F321" i="3" s="1"/>
  <c r="C321" i="3"/>
  <c r="U320" i="3"/>
  <c r="R320" i="3"/>
  <c r="M320" i="3"/>
  <c r="O320" i="3" s="1"/>
  <c r="E320" i="3"/>
  <c r="D320" i="3"/>
  <c r="F320" i="3" s="1"/>
  <c r="C320" i="3"/>
  <c r="U319" i="3"/>
  <c r="R319" i="3"/>
  <c r="M319" i="3"/>
  <c r="O319" i="3" s="1"/>
  <c r="E319" i="3"/>
  <c r="D319" i="3"/>
  <c r="F319" i="3" s="1"/>
  <c r="C319" i="3"/>
  <c r="U318" i="3"/>
  <c r="R318" i="3"/>
  <c r="M318" i="3"/>
  <c r="O318" i="3" s="1"/>
  <c r="E318" i="3"/>
  <c r="D318" i="3"/>
  <c r="F318" i="3" s="1"/>
  <c r="C318" i="3"/>
  <c r="U317" i="3"/>
  <c r="R317" i="3"/>
  <c r="M317" i="3"/>
  <c r="O317" i="3" s="1"/>
  <c r="E317" i="3"/>
  <c r="D317" i="3"/>
  <c r="F317" i="3" s="1"/>
  <c r="C317" i="3"/>
  <c r="U316" i="3"/>
  <c r="R316" i="3"/>
  <c r="M316" i="3"/>
  <c r="O316" i="3" s="1"/>
  <c r="E316" i="3"/>
  <c r="D316" i="3"/>
  <c r="F316" i="3" s="1"/>
  <c r="C316" i="3"/>
  <c r="U315" i="3"/>
  <c r="R315" i="3"/>
  <c r="M315" i="3"/>
  <c r="O315" i="3" s="1"/>
  <c r="E315" i="3"/>
  <c r="D315" i="3"/>
  <c r="F315" i="3" s="1"/>
  <c r="C315" i="3"/>
  <c r="U314" i="3"/>
  <c r="R314" i="3"/>
  <c r="M314" i="3"/>
  <c r="O314" i="3" s="1"/>
  <c r="E314" i="3"/>
  <c r="D314" i="3"/>
  <c r="F314" i="3" s="1"/>
  <c r="C314" i="3"/>
  <c r="U313" i="3"/>
  <c r="R313" i="3"/>
  <c r="M313" i="3"/>
  <c r="O313" i="3" s="1"/>
  <c r="W338" i="3" s="1"/>
  <c r="E313" i="3"/>
  <c r="D313" i="3"/>
  <c r="F313" i="3" s="1"/>
  <c r="C313" i="3"/>
  <c r="W336" i="3" s="1"/>
  <c r="U312" i="3"/>
  <c r="R312" i="3"/>
  <c r="M312" i="3"/>
  <c r="O312" i="3" s="1"/>
  <c r="E312" i="3"/>
  <c r="D312" i="3"/>
  <c r="F312" i="3" s="1"/>
  <c r="C312" i="3"/>
  <c r="U311" i="3"/>
  <c r="R311" i="3"/>
  <c r="M311" i="3"/>
  <c r="O311" i="3" s="1"/>
  <c r="E311" i="3"/>
  <c r="D311" i="3"/>
  <c r="F311" i="3" s="1"/>
  <c r="C311" i="3"/>
  <c r="U310" i="3"/>
  <c r="R310" i="3"/>
  <c r="M310" i="3"/>
  <c r="O310" i="3" s="1"/>
  <c r="E310" i="3"/>
  <c r="D310" i="3"/>
  <c r="F310" i="3" s="1"/>
  <c r="C310" i="3"/>
  <c r="W309" i="3"/>
  <c r="U309" i="3"/>
  <c r="R309" i="3"/>
  <c r="M309" i="3"/>
  <c r="O309" i="3" s="1"/>
  <c r="E309" i="3"/>
  <c r="D309" i="3"/>
  <c r="F309" i="3" s="1"/>
  <c r="C309" i="3"/>
  <c r="U308" i="3"/>
  <c r="R308" i="3"/>
  <c r="M308" i="3"/>
  <c r="O308" i="3" s="1"/>
  <c r="E308" i="3"/>
  <c r="D308" i="3"/>
  <c r="F308" i="3" s="1"/>
  <c r="C308" i="3"/>
  <c r="U307" i="3"/>
  <c r="R307" i="3"/>
  <c r="M307" i="3"/>
  <c r="O307" i="3" s="1"/>
  <c r="E307" i="3"/>
  <c r="D307" i="3"/>
  <c r="F307" i="3" s="1"/>
  <c r="C307" i="3"/>
  <c r="U306" i="3"/>
  <c r="R306" i="3"/>
  <c r="M306" i="3"/>
  <c r="O306" i="3" s="1"/>
  <c r="E306" i="3"/>
  <c r="D306" i="3"/>
  <c r="F306" i="3" s="1"/>
  <c r="C306" i="3"/>
  <c r="U305" i="3"/>
  <c r="R305" i="3"/>
  <c r="M305" i="3"/>
  <c r="O305" i="3" s="1"/>
  <c r="E305" i="3"/>
  <c r="D305" i="3"/>
  <c r="F305" i="3" s="1"/>
  <c r="C305" i="3"/>
  <c r="U304" i="3"/>
  <c r="R304" i="3"/>
  <c r="M304" i="3"/>
  <c r="O304" i="3" s="1"/>
  <c r="E304" i="3"/>
  <c r="D304" i="3"/>
  <c r="F304" i="3" s="1"/>
  <c r="C304" i="3"/>
  <c r="U303" i="3"/>
  <c r="R303" i="3"/>
  <c r="M303" i="3"/>
  <c r="O303" i="3" s="1"/>
  <c r="E303" i="3"/>
  <c r="D303" i="3"/>
  <c r="F303" i="3" s="1"/>
  <c r="C303" i="3"/>
  <c r="U302" i="3"/>
  <c r="R302" i="3"/>
  <c r="M302" i="3"/>
  <c r="O302" i="3" s="1"/>
  <c r="E302" i="3"/>
  <c r="D302" i="3"/>
  <c r="F302" i="3" s="1"/>
  <c r="C302" i="3"/>
  <c r="U301" i="3"/>
  <c r="R301" i="3"/>
  <c r="M301" i="3"/>
  <c r="O301" i="3" s="1"/>
  <c r="E301" i="3"/>
  <c r="D301" i="3"/>
  <c r="F301" i="3" s="1"/>
  <c r="C301" i="3"/>
  <c r="U300" i="3"/>
  <c r="R300" i="3"/>
  <c r="M300" i="3"/>
  <c r="O300" i="3" s="1"/>
  <c r="E300" i="3"/>
  <c r="D300" i="3"/>
  <c r="F300" i="3" s="1"/>
  <c r="C300" i="3"/>
  <c r="U299" i="3"/>
  <c r="R299" i="3"/>
  <c r="M299" i="3"/>
  <c r="O299" i="3" s="1"/>
  <c r="E299" i="3"/>
  <c r="D299" i="3"/>
  <c r="F299" i="3" s="1"/>
  <c r="C299" i="3"/>
  <c r="U298" i="3"/>
  <c r="R298" i="3"/>
  <c r="M298" i="3"/>
  <c r="O298" i="3" s="1"/>
  <c r="E298" i="3"/>
  <c r="D298" i="3"/>
  <c r="F298" i="3" s="1"/>
  <c r="C298" i="3"/>
  <c r="U297" i="3"/>
  <c r="R297" i="3"/>
  <c r="M297" i="3"/>
  <c r="O297" i="3" s="1"/>
  <c r="E297" i="3"/>
  <c r="D297" i="3"/>
  <c r="F297" i="3" s="1"/>
  <c r="C297" i="3"/>
  <c r="U296" i="3"/>
  <c r="R296" i="3"/>
  <c r="M296" i="3"/>
  <c r="O296" i="3" s="1"/>
  <c r="E296" i="3"/>
  <c r="D296" i="3"/>
  <c r="F296" i="3" s="1"/>
  <c r="C296" i="3"/>
  <c r="U295" i="3"/>
  <c r="R295" i="3"/>
  <c r="M295" i="3"/>
  <c r="O295" i="3" s="1"/>
  <c r="E295" i="3"/>
  <c r="D295" i="3"/>
  <c r="F295" i="3" s="1"/>
  <c r="C295" i="3"/>
  <c r="U294" i="3"/>
  <c r="R294" i="3"/>
  <c r="M294" i="3"/>
  <c r="O294" i="3" s="1"/>
  <c r="E294" i="3"/>
  <c r="D294" i="3"/>
  <c r="F294" i="3" s="1"/>
  <c r="C294" i="3"/>
  <c r="U293" i="3"/>
  <c r="R293" i="3"/>
  <c r="M293" i="3"/>
  <c r="O293" i="3" s="1"/>
  <c r="E293" i="3"/>
  <c r="D293" i="3"/>
  <c r="F293" i="3" s="1"/>
  <c r="C293" i="3"/>
  <c r="U292" i="3"/>
  <c r="R292" i="3"/>
  <c r="M292" i="3"/>
  <c r="O292" i="3" s="1"/>
  <c r="E292" i="3"/>
  <c r="D292" i="3"/>
  <c r="F292" i="3" s="1"/>
  <c r="C292" i="3"/>
  <c r="U291" i="3"/>
  <c r="R291" i="3"/>
  <c r="M291" i="3"/>
  <c r="O291" i="3" s="1"/>
  <c r="E291" i="3"/>
  <c r="D291" i="3"/>
  <c r="F291" i="3" s="1"/>
  <c r="C291" i="3"/>
  <c r="U290" i="3"/>
  <c r="R290" i="3"/>
  <c r="M290" i="3"/>
  <c r="O290" i="3" s="1"/>
  <c r="E290" i="3"/>
  <c r="D290" i="3"/>
  <c r="F290" i="3" s="1"/>
  <c r="C290" i="3"/>
  <c r="U289" i="3"/>
  <c r="R289" i="3"/>
  <c r="M289" i="3"/>
  <c r="O289" i="3" s="1"/>
  <c r="E289" i="3"/>
  <c r="D289" i="3"/>
  <c r="F289" i="3" s="1"/>
  <c r="C289" i="3"/>
  <c r="U288" i="3"/>
  <c r="R288" i="3"/>
  <c r="M288" i="3"/>
  <c r="O288" i="3" s="1"/>
  <c r="E288" i="3"/>
  <c r="D288" i="3"/>
  <c r="F288" i="3" s="1"/>
  <c r="C288" i="3"/>
  <c r="U287" i="3"/>
  <c r="R287" i="3"/>
  <c r="M287" i="3"/>
  <c r="O287" i="3" s="1"/>
  <c r="E287" i="3"/>
  <c r="D287" i="3"/>
  <c r="F287" i="3" s="1"/>
  <c r="C287" i="3"/>
  <c r="U286" i="3"/>
  <c r="R286" i="3"/>
  <c r="M286" i="3"/>
  <c r="O286" i="3" s="1"/>
  <c r="E286" i="3"/>
  <c r="D286" i="3"/>
  <c r="F286" i="3" s="1"/>
  <c r="C286" i="3"/>
  <c r="U285" i="3"/>
  <c r="R285" i="3"/>
  <c r="M285" i="3"/>
  <c r="O285" i="3" s="1"/>
  <c r="E285" i="3"/>
  <c r="D285" i="3"/>
  <c r="F285" i="3" s="1"/>
  <c r="C285" i="3"/>
  <c r="U284" i="3"/>
  <c r="R284" i="3"/>
  <c r="M284" i="3"/>
  <c r="O284" i="3" s="1"/>
  <c r="E284" i="3"/>
  <c r="D284" i="3"/>
  <c r="F284" i="3" s="1"/>
  <c r="C284" i="3"/>
  <c r="U283" i="3"/>
  <c r="R283" i="3"/>
  <c r="M283" i="3"/>
  <c r="O283" i="3" s="1"/>
  <c r="E283" i="3"/>
  <c r="D283" i="3"/>
  <c r="F283" i="3" s="1"/>
  <c r="C283" i="3"/>
  <c r="U282" i="3"/>
  <c r="R282" i="3"/>
  <c r="M282" i="3"/>
  <c r="O282" i="3" s="1"/>
  <c r="W310" i="3" s="1"/>
  <c r="E282" i="3"/>
  <c r="D282" i="3"/>
  <c r="F282" i="3" s="1"/>
  <c r="C282" i="3"/>
  <c r="W308" i="3" s="1"/>
  <c r="U281" i="3"/>
  <c r="R281" i="3"/>
  <c r="M281" i="3"/>
  <c r="O281" i="3" s="1"/>
  <c r="E281" i="3"/>
  <c r="D281" i="3"/>
  <c r="F281" i="3" s="1"/>
  <c r="C281" i="3"/>
  <c r="U280" i="3"/>
  <c r="R280" i="3"/>
  <c r="M280" i="3"/>
  <c r="O280" i="3" s="1"/>
  <c r="E280" i="3"/>
  <c r="D280" i="3"/>
  <c r="F280" i="3" s="1"/>
  <c r="C280" i="3"/>
  <c r="U279" i="3"/>
  <c r="R279" i="3"/>
  <c r="M279" i="3"/>
  <c r="O279" i="3" s="1"/>
  <c r="E279" i="3"/>
  <c r="D279" i="3"/>
  <c r="F279" i="3" s="1"/>
  <c r="C279" i="3"/>
  <c r="W278" i="3"/>
  <c r="U278" i="3"/>
  <c r="R278" i="3"/>
  <c r="M278" i="3"/>
  <c r="O278" i="3" s="1"/>
  <c r="E278" i="3"/>
  <c r="D278" i="3"/>
  <c r="F278" i="3" s="1"/>
  <c r="C278" i="3"/>
  <c r="U277" i="3"/>
  <c r="R277" i="3"/>
  <c r="M277" i="3"/>
  <c r="O277" i="3" s="1"/>
  <c r="E277" i="3"/>
  <c r="D277" i="3"/>
  <c r="F277" i="3" s="1"/>
  <c r="C277" i="3"/>
  <c r="U276" i="3"/>
  <c r="R276" i="3"/>
  <c r="M276" i="3"/>
  <c r="O276" i="3" s="1"/>
  <c r="E276" i="3"/>
  <c r="D276" i="3"/>
  <c r="F276" i="3" s="1"/>
  <c r="C276" i="3"/>
  <c r="U275" i="3"/>
  <c r="R275" i="3"/>
  <c r="M275" i="3"/>
  <c r="O275" i="3" s="1"/>
  <c r="E275" i="3"/>
  <c r="D275" i="3"/>
  <c r="F275" i="3" s="1"/>
  <c r="C275" i="3"/>
  <c r="U274" i="3"/>
  <c r="R274" i="3"/>
  <c r="M274" i="3"/>
  <c r="O274" i="3" s="1"/>
  <c r="E274" i="3"/>
  <c r="D274" i="3"/>
  <c r="F274" i="3" s="1"/>
  <c r="C274" i="3"/>
  <c r="U273" i="3"/>
  <c r="R273" i="3"/>
  <c r="M273" i="3"/>
  <c r="O273" i="3" s="1"/>
  <c r="E273" i="3"/>
  <c r="D273" i="3"/>
  <c r="F273" i="3" s="1"/>
  <c r="C273" i="3"/>
  <c r="U272" i="3"/>
  <c r="R272" i="3"/>
  <c r="M272" i="3"/>
  <c r="O272" i="3" s="1"/>
  <c r="E272" i="3"/>
  <c r="D272" i="3"/>
  <c r="F272" i="3" s="1"/>
  <c r="C272" i="3"/>
  <c r="U271" i="3"/>
  <c r="R271" i="3"/>
  <c r="M271" i="3"/>
  <c r="O271" i="3" s="1"/>
  <c r="E271" i="3"/>
  <c r="D271" i="3"/>
  <c r="F271" i="3" s="1"/>
  <c r="C271" i="3"/>
  <c r="U270" i="3"/>
  <c r="R270" i="3"/>
  <c r="M270" i="3"/>
  <c r="O270" i="3" s="1"/>
  <c r="E270" i="3"/>
  <c r="D270" i="3"/>
  <c r="F270" i="3" s="1"/>
  <c r="C270" i="3"/>
  <c r="U269" i="3"/>
  <c r="R269" i="3"/>
  <c r="M269" i="3"/>
  <c r="O269" i="3" s="1"/>
  <c r="E269" i="3"/>
  <c r="D269" i="3"/>
  <c r="F269" i="3" s="1"/>
  <c r="C269" i="3"/>
  <c r="U268" i="3"/>
  <c r="R268" i="3"/>
  <c r="M268" i="3"/>
  <c r="O268" i="3" s="1"/>
  <c r="E268" i="3"/>
  <c r="D268" i="3"/>
  <c r="F268" i="3" s="1"/>
  <c r="C268" i="3"/>
  <c r="U267" i="3"/>
  <c r="R267" i="3"/>
  <c r="M267" i="3"/>
  <c r="O267" i="3" s="1"/>
  <c r="E267" i="3"/>
  <c r="D267" i="3"/>
  <c r="F267" i="3" s="1"/>
  <c r="C267" i="3"/>
  <c r="U266" i="3"/>
  <c r="R266" i="3"/>
  <c r="M266" i="3"/>
  <c r="O266" i="3" s="1"/>
  <c r="E266" i="3"/>
  <c r="D266" i="3"/>
  <c r="F266" i="3" s="1"/>
  <c r="C266" i="3"/>
  <c r="U265" i="3"/>
  <c r="R265" i="3"/>
  <c r="M265" i="3"/>
  <c r="O265" i="3" s="1"/>
  <c r="E265" i="3"/>
  <c r="D265" i="3"/>
  <c r="F265" i="3" s="1"/>
  <c r="C265" i="3"/>
  <c r="U264" i="3"/>
  <c r="R264" i="3"/>
  <c r="M264" i="3"/>
  <c r="O264" i="3" s="1"/>
  <c r="E264" i="3"/>
  <c r="D264" i="3"/>
  <c r="F264" i="3" s="1"/>
  <c r="C264" i="3"/>
  <c r="U263" i="3"/>
  <c r="R263" i="3"/>
  <c r="M263" i="3"/>
  <c r="O263" i="3" s="1"/>
  <c r="E263" i="3"/>
  <c r="D263" i="3"/>
  <c r="F263" i="3" s="1"/>
  <c r="C263" i="3"/>
  <c r="U262" i="3"/>
  <c r="R262" i="3"/>
  <c r="M262" i="3"/>
  <c r="O262" i="3" s="1"/>
  <c r="E262" i="3"/>
  <c r="D262" i="3"/>
  <c r="F262" i="3" s="1"/>
  <c r="C262" i="3"/>
  <c r="U261" i="3"/>
  <c r="R261" i="3"/>
  <c r="M261" i="3"/>
  <c r="O261" i="3" s="1"/>
  <c r="E261" i="3"/>
  <c r="D261" i="3"/>
  <c r="F261" i="3" s="1"/>
  <c r="C261" i="3"/>
  <c r="U260" i="3"/>
  <c r="R260" i="3"/>
  <c r="M260" i="3"/>
  <c r="O260" i="3" s="1"/>
  <c r="E260" i="3"/>
  <c r="D260" i="3"/>
  <c r="F260" i="3" s="1"/>
  <c r="C260" i="3"/>
  <c r="U259" i="3"/>
  <c r="R259" i="3"/>
  <c r="M259" i="3"/>
  <c r="O259" i="3" s="1"/>
  <c r="E259" i="3"/>
  <c r="D259" i="3"/>
  <c r="F259" i="3" s="1"/>
  <c r="C259" i="3"/>
  <c r="U258" i="3"/>
  <c r="R258" i="3"/>
  <c r="M258" i="3"/>
  <c r="O258" i="3" s="1"/>
  <c r="E258" i="3"/>
  <c r="D258" i="3"/>
  <c r="F258" i="3" s="1"/>
  <c r="C258" i="3"/>
  <c r="U257" i="3"/>
  <c r="R257" i="3"/>
  <c r="M257" i="3"/>
  <c r="O257" i="3" s="1"/>
  <c r="E257" i="3"/>
  <c r="D257" i="3"/>
  <c r="F257" i="3" s="1"/>
  <c r="C257" i="3"/>
  <c r="U256" i="3"/>
  <c r="R256" i="3"/>
  <c r="M256" i="3"/>
  <c r="O256" i="3" s="1"/>
  <c r="E256" i="3"/>
  <c r="D256" i="3"/>
  <c r="F256" i="3" s="1"/>
  <c r="C256" i="3"/>
  <c r="U255" i="3"/>
  <c r="R255" i="3"/>
  <c r="M255" i="3"/>
  <c r="O255" i="3" s="1"/>
  <c r="E255" i="3"/>
  <c r="D255" i="3"/>
  <c r="F255" i="3" s="1"/>
  <c r="C255" i="3"/>
  <c r="U254" i="3"/>
  <c r="R254" i="3"/>
  <c r="M254" i="3"/>
  <c r="O254" i="3" s="1"/>
  <c r="E254" i="3"/>
  <c r="D254" i="3"/>
  <c r="F254" i="3" s="1"/>
  <c r="C254" i="3"/>
  <c r="U253" i="3"/>
  <c r="R253" i="3"/>
  <c r="M253" i="3"/>
  <c r="O253" i="3" s="1"/>
  <c r="E253" i="3"/>
  <c r="D253" i="3"/>
  <c r="F253" i="3" s="1"/>
  <c r="C253" i="3"/>
  <c r="U252" i="3"/>
  <c r="R252" i="3"/>
  <c r="M252" i="3"/>
  <c r="O252" i="3" s="1"/>
  <c r="W279" i="3" s="1"/>
  <c r="E252" i="3"/>
  <c r="D252" i="3"/>
  <c r="F252" i="3" s="1"/>
  <c r="C252" i="3"/>
  <c r="E251" i="3"/>
  <c r="D251" i="3"/>
  <c r="F251" i="3" s="1"/>
  <c r="C251" i="3"/>
  <c r="W277" i="3" s="1"/>
  <c r="U250" i="3"/>
  <c r="R250" i="3"/>
  <c r="M250" i="3"/>
  <c r="O250" i="3" s="1"/>
  <c r="E250" i="3"/>
  <c r="D250" i="3"/>
  <c r="F250" i="3" s="1"/>
  <c r="C250" i="3"/>
  <c r="U249" i="3"/>
  <c r="R249" i="3"/>
  <c r="M249" i="3"/>
  <c r="O249" i="3" s="1"/>
  <c r="E249" i="3"/>
  <c r="D249" i="3"/>
  <c r="F249" i="3" s="1"/>
  <c r="C249" i="3"/>
  <c r="U248" i="3"/>
  <c r="R248" i="3"/>
  <c r="M248" i="3"/>
  <c r="O248" i="3" s="1"/>
  <c r="E248" i="3"/>
  <c r="D248" i="3"/>
  <c r="F248" i="3" s="1"/>
  <c r="C248" i="3"/>
  <c r="W247" i="3"/>
  <c r="U247" i="3"/>
  <c r="R247" i="3"/>
  <c r="M247" i="3"/>
  <c r="O247" i="3" s="1"/>
  <c r="E247" i="3"/>
  <c r="D247" i="3"/>
  <c r="F247" i="3" s="1"/>
  <c r="C247" i="3"/>
  <c r="U246" i="3"/>
  <c r="R246" i="3"/>
  <c r="M246" i="3"/>
  <c r="O246" i="3" s="1"/>
  <c r="E246" i="3"/>
  <c r="D246" i="3"/>
  <c r="F246" i="3" s="1"/>
  <c r="C246" i="3"/>
  <c r="U245" i="3"/>
  <c r="R245" i="3"/>
  <c r="M245" i="3"/>
  <c r="O245" i="3" s="1"/>
  <c r="E245" i="3"/>
  <c r="D245" i="3"/>
  <c r="F245" i="3" s="1"/>
  <c r="C245" i="3"/>
  <c r="U244" i="3"/>
  <c r="R244" i="3"/>
  <c r="M244" i="3"/>
  <c r="O244" i="3" s="1"/>
  <c r="E244" i="3"/>
  <c r="D244" i="3"/>
  <c r="F244" i="3" s="1"/>
  <c r="C244" i="3"/>
  <c r="U243" i="3"/>
  <c r="R243" i="3"/>
  <c r="M243" i="3"/>
  <c r="O243" i="3" s="1"/>
  <c r="E243" i="3"/>
  <c r="D243" i="3"/>
  <c r="F243" i="3" s="1"/>
  <c r="C243" i="3"/>
  <c r="U242" i="3"/>
  <c r="R242" i="3"/>
  <c r="M242" i="3"/>
  <c r="O242" i="3" s="1"/>
  <c r="E242" i="3"/>
  <c r="D242" i="3"/>
  <c r="F242" i="3" s="1"/>
  <c r="C242" i="3"/>
  <c r="U241" i="3"/>
  <c r="R241" i="3"/>
  <c r="M241" i="3"/>
  <c r="O241" i="3" s="1"/>
  <c r="E241" i="3"/>
  <c r="D241" i="3"/>
  <c r="F241" i="3" s="1"/>
  <c r="C241" i="3"/>
  <c r="U240" i="3"/>
  <c r="R240" i="3"/>
  <c r="M240" i="3"/>
  <c r="O240" i="3" s="1"/>
  <c r="E240" i="3"/>
  <c r="D240" i="3"/>
  <c r="F240" i="3" s="1"/>
  <c r="C240" i="3"/>
  <c r="U239" i="3"/>
  <c r="R239" i="3"/>
  <c r="M239" i="3"/>
  <c r="O239" i="3" s="1"/>
  <c r="E239" i="3"/>
  <c r="D239" i="3"/>
  <c r="F239" i="3" s="1"/>
  <c r="C239" i="3"/>
  <c r="U238" i="3"/>
  <c r="R238" i="3"/>
  <c r="M238" i="3"/>
  <c r="O238" i="3" s="1"/>
  <c r="E238" i="3"/>
  <c r="D238" i="3"/>
  <c r="F238" i="3" s="1"/>
  <c r="C238" i="3"/>
  <c r="U237" i="3"/>
  <c r="R237" i="3"/>
  <c r="M237" i="3"/>
  <c r="O237" i="3" s="1"/>
  <c r="E237" i="3"/>
  <c r="D237" i="3"/>
  <c r="F237" i="3" s="1"/>
  <c r="C237" i="3"/>
  <c r="U236" i="3"/>
  <c r="R236" i="3"/>
  <c r="M236" i="3"/>
  <c r="O236" i="3" s="1"/>
  <c r="E236" i="3"/>
  <c r="D236" i="3"/>
  <c r="F236" i="3" s="1"/>
  <c r="C236" i="3"/>
  <c r="U235" i="3"/>
  <c r="R235" i="3"/>
  <c r="M235" i="3"/>
  <c r="O235" i="3" s="1"/>
  <c r="E235" i="3"/>
  <c r="D235" i="3"/>
  <c r="F235" i="3" s="1"/>
  <c r="C235" i="3"/>
  <c r="U234" i="3"/>
  <c r="R234" i="3"/>
  <c r="M234" i="3"/>
  <c r="O234" i="3" s="1"/>
  <c r="E234" i="3"/>
  <c r="D234" i="3"/>
  <c r="F234" i="3" s="1"/>
  <c r="C234" i="3"/>
  <c r="U233" i="3"/>
  <c r="R233" i="3"/>
  <c r="M233" i="3"/>
  <c r="O233" i="3" s="1"/>
  <c r="E233" i="3"/>
  <c r="D233" i="3"/>
  <c r="F233" i="3" s="1"/>
  <c r="C233" i="3"/>
  <c r="U232" i="3"/>
  <c r="R232" i="3"/>
  <c r="M232" i="3"/>
  <c r="O232" i="3" s="1"/>
  <c r="E232" i="3"/>
  <c r="D232" i="3"/>
  <c r="F232" i="3" s="1"/>
  <c r="C232" i="3"/>
  <c r="U231" i="3"/>
  <c r="R231" i="3"/>
  <c r="M231" i="3"/>
  <c r="O231" i="3" s="1"/>
  <c r="E231" i="3"/>
  <c r="D231" i="3"/>
  <c r="F231" i="3" s="1"/>
  <c r="C231" i="3"/>
  <c r="U230" i="3"/>
  <c r="R230" i="3"/>
  <c r="M230" i="3"/>
  <c r="O230" i="3" s="1"/>
  <c r="E230" i="3"/>
  <c r="D230" i="3"/>
  <c r="F230" i="3" s="1"/>
  <c r="C230" i="3"/>
  <c r="U229" i="3"/>
  <c r="R229" i="3"/>
  <c r="M229" i="3"/>
  <c r="O229" i="3" s="1"/>
  <c r="E229" i="3"/>
  <c r="D229" i="3"/>
  <c r="F229" i="3" s="1"/>
  <c r="C229" i="3"/>
  <c r="U228" i="3"/>
  <c r="R228" i="3"/>
  <c r="M228" i="3"/>
  <c r="O228" i="3" s="1"/>
  <c r="E228" i="3"/>
  <c r="D228" i="3"/>
  <c r="F228" i="3" s="1"/>
  <c r="C228" i="3"/>
  <c r="U227" i="3"/>
  <c r="R227" i="3"/>
  <c r="M227" i="3"/>
  <c r="O227" i="3" s="1"/>
  <c r="E227" i="3"/>
  <c r="D227" i="3"/>
  <c r="F227" i="3" s="1"/>
  <c r="C227" i="3"/>
  <c r="U226" i="3"/>
  <c r="R226" i="3"/>
  <c r="M226" i="3"/>
  <c r="O226" i="3" s="1"/>
  <c r="E226" i="3"/>
  <c r="D226" i="3"/>
  <c r="F226" i="3" s="1"/>
  <c r="C226" i="3"/>
  <c r="U225" i="3"/>
  <c r="R225" i="3"/>
  <c r="M225" i="3"/>
  <c r="O225" i="3" s="1"/>
  <c r="E225" i="3"/>
  <c r="D225" i="3"/>
  <c r="F225" i="3" s="1"/>
  <c r="C225" i="3"/>
  <c r="U224" i="3"/>
  <c r="R224" i="3"/>
  <c r="M224" i="3"/>
  <c r="O224" i="3" s="1"/>
  <c r="E224" i="3"/>
  <c r="D224" i="3"/>
  <c r="F224" i="3" s="1"/>
  <c r="C224" i="3"/>
  <c r="U223" i="3"/>
  <c r="R223" i="3"/>
  <c r="M223" i="3"/>
  <c r="O223" i="3" s="1"/>
  <c r="E223" i="3"/>
  <c r="D223" i="3"/>
  <c r="F223" i="3" s="1"/>
  <c r="C223" i="3"/>
  <c r="U222" i="3"/>
  <c r="R222" i="3"/>
  <c r="M222" i="3"/>
  <c r="O222" i="3" s="1"/>
  <c r="E222" i="3"/>
  <c r="D222" i="3"/>
  <c r="F222" i="3" s="1"/>
  <c r="C222" i="3"/>
  <c r="U221" i="3"/>
  <c r="R221" i="3"/>
  <c r="M221" i="3"/>
  <c r="O221" i="3" s="1"/>
  <c r="W248" i="3" s="1"/>
  <c r="E221" i="3"/>
  <c r="D221" i="3"/>
  <c r="F221" i="3" s="1"/>
  <c r="C221" i="3"/>
  <c r="W246" i="3" s="1"/>
  <c r="U220" i="3"/>
  <c r="R220" i="3"/>
  <c r="M220" i="3"/>
  <c r="O220" i="3" s="1"/>
  <c r="E220" i="3"/>
  <c r="D220" i="3"/>
  <c r="F220" i="3" s="1"/>
  <c r="C220" i="3"/>
  <c r="U219" i="3"/>
  <c r="R219" i="3"/>
  <c r="M219" i="3"/>
  <c r="O219" i="3" s="1"/>
  <c r="E219" i="3"/>
  <c r="D219" i="3"/>
  <c r="F219" i="3" s="1"/>
  <c r="C219" i="3"/>
  <c r="U218" i="3"/>
  <c r="R218" i="3"/>
  <c r="M218" i="3"/>
  <c r="O218" i="3" s="1"/>
  <c r="E218" i="3"/>
  <c r="D218" i="3"/>
  <c r="F218" i="3" s="1"/>
  <c r="C218" i="3"/>
  <c r="W217" i="3"/>
  <c r="U217" i="3"/>
  <c r="R217" i="3"/>
  <c r="M217" i="3"/>
  <c r="O217" i="3" s="1"/>
  <c r="E217" i="3"/>
  <c r="D217" i="3"/>
  <c r="F217" i="3" s="1"/>
  <c r="C217" i="3"/>
  <c r="U216" i="3"/>
  <c r="R216" i="3"/>
  <c r="M216" i="3"/>
  <c r="O216" i="3" s="1"/>
  <c r="E216" i="3"/>
  <c r="D216" i="3"/>
  <c r="F216" i="3" s="1"/>
  <c r="C216" i="3"/>
  <c r="U215" i="3"/>
  <c r="R215" i="3"/>
  <c r="M215" i="3"/>
  <c r="O215" i="3" s="1"/>
  <c r="E215" i="3"/>
  <c r="D215" i="3"/>
  <c r="F215" i="3" s="1"/>
  <c r="C215" i="3"/>
  <c r="U214" i="3"/>
  <c r="R214" i="3"/>
  <c r="M214" i="3"/>
  <c r="O214" i="3" s="1"/>
  <c r="E214" i="3"/>
  <c r="D214" i="3"/>
  <c r="F214" i="3" s="1"/>
  <c r="C214" i="3"/>
  <c r="U213" i="3"/>
  <c r="R213" i="3"/>
  <c r="M213" i="3"/>
  <c r="O213" i="3" s="1"/>
  <c r="E213" i="3"/>
  <c r="D213" i="3"/>
  <c r="F213" i="3" s="1"/>
  <c r="C213" i="3"/>
  <c r="U212" i="3"/>
  <c r="R212" i="3"/>
  <c r="M212" i="3"/>
  <c r="O212" i="3" s="1"/>
  <c r="E212" i="3"/>
  <c r="D212" i="3"/>
  <c r="F212" i="3" s="1"/>
  <c r="C212" i="3"/>
  <c r="U211" i="3"/>
  <c r="R211" i="3"/>
  <c r="M211" i="3"/>
  <c r="O211" i="3" s="1"/>
  <c r="E211" i="3"/>
  <c r="D211" i="3"/>
  <c r="F211" i="3" s="1"/>
  <c r="C211" i="3"/>
  <c r="U210" i="3"/>
  <c r="R210" i="3"/>
  <c r="M210" i="3"/>
  <c r="O210" i="3" s="1"/>
  <c r="E210" i="3"/>
  <c r="D210" i="3"/>
  <c r="F210" i="3" s="1"/>
  <c r="C210" i="3"/>
  <c r="U209" i="3"/>
  <c r="R209" i="3"/>
  <c r="M209" i="3"/>
  <c r="O209" i="3" s="1"/>
  <c r="E209" i="3"/>
  <c r="D209" i="3"/>
  <c r="F209" i="3" s="1"/>
  <c r="C209" i="3"/>
  <c r="U208" i="3"/>
  <c r="R208" i="3"/>
  <c r="M208" i="3"/>
  <c r="O208" i="3" s="1"/>
  <c r="E208" i="3"/>
  <c r="D208" i="3"/>
  <c r="F208" i="3" s="1"/>
  <c r="C208" i="3"/>
  <c r="U207" i="3"/>
  <c r="R207" i="3"/>
  <c r="M207" i="3"/>
  <c r="O207" i="3" s="1"/>
  <c r="E207" i="3"/>
  <c r="D207" i="3"/>
  <c r="F207" i="3" s="1"/>
  <c r="C207" i="3"/>
  <c r="U206" i="3"/>
  <c r="R206" i="3"/>
  <c r="M206" i="3"/>
  <c r="O206" i="3" s="1"/>
  <c r="E206" i="3"/>
  <c r="D206" i="3"/>
  <c r="F206" i="3" s="1"/>
  <c r="C206" i="3"/>
  <c r="U205" i="3"/>
  <c r="R205" i="3"/>
  <c r="M205" i="3"/>
  <c r="O205" i="3" s="1"/>
  <c r="E205" i="3"/>
  <c r="D205" i="3"/>
  <c r="F205" i="3" s="1"/>
  <c r="C205" i="3"/>
  <c r="U204" i="3"/>
  <c r="R204" i="3"/>
  <c r="M204" i="3"/>
  <c r="O204" i="3" s="1"/>
  <c r="E204" i="3"/>
  <c r="D204" i="3"/>
  <c r="F204" i="3" s="1"/>
  <c r="C204" i="3"/>
  <c r="U203" i="3"/>
  <c r="R203" i="3"/>
  <c r="M203" i="3"/>
  <c r="O203" i="3" s="1"/>
  <c r="E203" i="3"/>
  <c r="D203" i="3"/>
  <c r="F203" i="3" s="1"/>
  <c r="C203" i="3"/>
  <c r="U202" i="3"/>
  <c r="R202" i="3"/>
  <c r="M202" i="3"/>
  <c r="O202" i="3" s="1"/>
  <c r="E202" i="3"/>
  <c r="D202" i="3"/>
  <c r="F202" i="3" s="1"/>
  <c r="C202" i="3"/>
  <c r="U201" i="3"/>
  <c r="R201" i="3"/>
  <c r="M201" i="3"/>
  <c r="O201" i="3" s="1"/>
  <c r="E201" i="3"/>
  <c r="D201" i="3"/>
  <c r="F201" i="3" s="1"/>
  <c r="C201" i="3"/>
  <c r="U200" i="3"/>
  <c r="R200" i="3"/>
  <c r="M200" i="3"/>
  <c r="O200" i="3" s="1"/>
  <c r="E200" i="3"/>
  <c r="D200" i="3"/>
  <c r="F200" i="3" s="1"/>
  <c r="C200" i="3"/>
  <c r="U199" i="3"/>
  <c r="R199" i="3"/>
  <c r="M199" i="3"/>
  <c r="O199" i="3" s="1"/>
  <c r="E199" i="3"/>
  <c r="D199" i="3"/>
  <c r="F199" i="3" s="1"/>
  <c r="C199" i="3"/>
  <c r="U198" i="3"/>
  <c r="R198" i="3"/>
  <c r="M198" i="3"/>
  <c r="O198" i="3" s="1"/>
  <c r="E198" i="3"/>
  <c r="D198" i="3"/>
  <c r="F198" i="3" s="1"/>
  <c r="C198" i="3"/>
  <c r="U197" i="3"/>
  <c r="R197" i="3"/>
  <c r="M197" i="3"/>
  <c r="O197" i="3" s="1"/>
  <c r="E197" i="3"/>
  <c r="D197" i="3"/>
  <c r="F197" i="3" s="1"/>
  <c r="C197" i="3"/>
  <c r="U196" i="3"/>
  <c r="R196" i="3"/>
  <c r="M196" i="3"/>
  <c r="O196" i="3" s="1"/>
  <c r="E196" i="3"/>
  <c r="D196" i="3"/>
  <c r="F196" i="3" s="1"/>
  <c r="C196" i="3"/>
  <c r="U195" i="3"/>
  <c r="R195" i="3"/>
  <c r="M195" i="3"/>
  <c r="O195" i="3" s="1"/>
  <c r="E195" i="3"/>
  <c r="D195" i="3"/>
  <c r="F195" i="3" s="1"/>
  <c r="C195" i="3"/>
  <c r="U194" i="3"/>
  <c r="R194" i="3"/>
  <c r="M194" i="3"/>
  <c r="O194" i="3" s="1"/>
  <c r="E194" i="3"/>
  <c r="D194" i="3"/>
  <c r="F194" i="3" s="1"/>
  <c r="C194" i="3"/>
  <c r="U193" i="3"/>
  <c r="R193" i="3"/>
  <c r="M193" i="3"/>
  <c r="O193" i="3" s="1"/>
  <c r="E193" i="3"/>
  <c r="D193" i="3"/>
  <c r="F193" i="3" s="1"/>
  <c r="C193" i="3"/>
  <c r="U192" i="3"/>
  <c r="R192" i="3"/>
  <c r="M192" i="3"/>
  <c r="O192" i="3" s="1"/>
  <c r="E192" i="3"/>
  <c r="D192" i="3"/>
  <c r="F192" i="3" s="1"/>
  <c r="C192" i="3"/>
  <c r="U191" i="3"/>
  <c r="R191" i="3"/>
  <c r="M191" i="3"/>
  <c r="O191" i="3" s="1"/>
  <c r="E191" i="3"/>
  <c r="D191" i="3"/>
  <c r="F191" i="3" s="1"/>
  <c r="C191" i="3"/>
  <c r="U190" i="3"/>
  <c r="R190" i="3"/>
  <c r="M190" i="3"/>
  <c r="O190" i="3" s="1"/>
  <c r="W218" i="3" s="1"/>
  <c r="E190" i="3"/>
  <c r="D190" i="3"/>
  <c r="F190" i="3" s="1"/>
  <c r="C190" i="3"/>
  <c r="W216" i="3" s="1"/>
  <c r="U189" i="3"/>
  <c r="R189" i="3"/>
  <c r="M189" i="3"/>
  <c r="O189" i="3" s="1"/>
  <c r="E189" i="3"/>
  <c r="D189" i="3"/>
  <c r="F189" i="3" s="1"/>
  <c r="C189" i="3"/>
  <c r="U188" i="3"/>
  <c r="R188" i="3"/>
  <c r="M188" i="3"/>
  <c r="O188" i="3" s="1"/>
  <c r="E188" i="3"/>
  <c r="D188" i="3"/>
  <c r="F188" i="3" s="1"/>
  <c r="C188" i="3"/>
  <c r="U187" i="3"/>
  <c r="R187" i="3"/>
  <c r="M187" i="3"/>
  <c r="O187" i="3" s="1"/>
  <c r="E187" i="3"/>
  <c r="D187" i="3"/>
  <c r="F187" i="3" s="1"/>
  <c r="C187" i="3"/>
  <c r="W186" i="3"/>
  <c r="U186" i="3"/>
  <c r="R186" i="3"/>
  <c r="M186" i="3"/>
  <c r="O186" i="3" s="1"/>
  <c r="E186" i="3"/>
  <c r="D186" i="3"/>
  <c r="F186" i="3" s="1"/>
  <c r="C186" i="3"/>
  <c r="U185" i="3"/>
  <c r="R185" i="3"/>
  <c r="M185" i="3"/>
  <c r="O185" i="3" s="1"/>
  <c r="E185" i="3"/>
  <c r="D185" i="3"/>
  <c r="F185" i="3" s="1"/>
  <c r="C185" i="3"/>
  <c r="U184" i="3"/>
  <c r="R184" i="3"/>
  <c r="M184" i="3"/>
  <c r="O184" i="3" s="1"/>
  <c r="E184" i="3"/>
  <c r="D184" i="3"/>
  <c r="F184" i="3" s="1"/>
  <c r="C184" i="3"/>
  <c r="U183" i="3"/>
  <c r="R183" i="3"/>
  <c r="M183" i="3"/>
  <c r="O183" i="3" s="1"/>
  <c r="E183" i="3"/>
  <c r="D183" i="3"/>
  <c r="F183" i="3" s="1"/>
  <c r="C183" i="3"/>
  <c r="U182" i="3"/>
  <c r="R182" i="3"/>
  <c r="M182" i="3"/>
  <c r="O182" i="3" s="1"/>
  <c r="E182" i="3"/>
  <c r="D182" i="3"/>
  <c r="F182" i="3" s="1"/>
  <c r="C182" i="3"/>
  <c r="U181" i="3"/>
  <c r="R181" i="3"/>
  <c r="M181" i="3"/>
  <c r="O181" i="3" s="1"/>
  <c r="E181" i="3"/>
  <c r="D181" i="3"/>
  <c r="F181" i="3" s="1"/>
  <c r="C181" i="3"/>
  <c r="U180" i="3"/>
  <c r="R180" i="3"/>
  <c r="M180" i="3"/>
  <c r="O180" i="3" s="1"/>
  <c r="E180" i="3"/>
  <c r="D180" i="3"/>
  <c r="F180" i="3" s="1"/>
  <c r="C180" i="3"/>
  <c r="U179" i="3"/>
  <c r="R179" i="3"/>
  <c r="M179" i="3"/>
  <c r="O179" i="3" s="1"/>
  <c r="E179" i="3"/>
  <c r="D179" i="3"/>
  <c r="F179" i="3" s="1"/>
  <c r="C179" i="3"/>
  <c r="U178" i="3"/>
  <c r="R178" i="3"/>
  <c r="M178" i="3"/>
  <c r="O178" i="3" s="1"/>
  <c r="E178" i="3"/>
  <c r="D178" i="3"/>
  <c r="F178" i="3" s="1"/>
  <c r="C178" i="3"/>
  <c r="U177" i="3"/>
  <c r="R177" i="3"/>
  <c r="M177" i="3"/>
  <c r="O177" i="3" s="1"/>
  <c r="E177" i="3"/>
  <c r="D177" i="3"/>
  <c r="F177" i="3" s="1"/>
  <c r="C177" i="3"/>
  <c r="U176" i="3"/>
  <c r="R176" i="3"/>
  <c r="M176" i="3"/>
  <c r="O176" i="3" s="1"/>
  <c r="E176" i="3"/>
  <c r="D176" i="3"/>
  <c r="F176" i="3" s="1"/>
  <c r="C176" i="3"/>
  <c r="U175" i="3"/>
  <c r="R175" i="3"/>
  <c r="M175" i="3"/>
  <c r="O175" i="3" s="1"/>
  <c r="E175" i="3"/>
  <c r="D175" i="3"/>
  <c r="F175" i="3" s="1"/>
  <c r="C175" i="3"/>
  <c r="U174" i="3"/>
  <c r="R174" i="3"/>
  <c r="M174" i="3"/>
  <c r="O174" i="3" s="1"/>
  <c r="E174" i="3"/>
  <c r="D174" i="3"/>
  <c r="F174" i="3" s="1"/>
  <c r="C174" i="3"/>
  <c r="U173" i="3"/>
  <c r="R173" i="3"/>
  <c r="M173" i="3"/>
  <c r="O173" i="3" s="1"/>
  <c r="E173" i="3"/>
  <c r="D173" i="3"/>
  <c r="F173" i="3" s="1"/>
  <c r="C173" i="3"/>
  <c r="U172" i="3"/>
  <c r="R172" i="3"/>
  <c r="M172" i="3"/>
  <c r="O172" i="3" s="1"/>
  <c r="E172" i="3"/>
  <c r="D172" i="3"/>
  <c r="F172" i="3" s="1"/>
  <c r="C172" i="3"/>
  <c r="U171" i="3"/>
  <c r="R171" i="3"/>
  <c r="M171" i="3"/>
  <c r="O171" i="3" s="1"/>
  <c r="E171" i="3"/>
  <c r="D171" i="3"/>
  <c r="F171" i="3" s="1"/>
  <c r="C171" i="3"/>
  <c r="U170" i="3"/>
  <c r="R170" i="3"/>
  <c r="M170" i="3"/>
  <c r="O170" i="3" s="1"/>
  <c r="E170" i="3"/>
  <c r="D170" i="3"/>
  <c r="F170" i="3" s="1"/>
  <c r="C170" i="3"/>
  <c r="U169" i="3"/>
  <c r="R169" i="3"/>
  <c r="M169" i="3"/>
  <c r="O169" i="3" s="1"/>
  <c r="E169" i="3"/>
  <c r="D169" i="3"/>
  <c r="F169" i="3" s="1"/>
  <c r="C169" i="3"/>
  <c r="U168" i="3"/>
  <c r="R168" i="3"/>
  <c r="M168" i="3"/>
  <c r="O168" i="3" s="1"/>
  <c r="E168" i="3"/>
  <c r="D168" i="3"/>
  <c r="F168" i="3" s="1"/>
  <c r="C168" i="3"/>
  <c r="U167" i="3"/>
  <c r="R167" i="3"/>
  <c r="M167" i="3"/>
  <c r="O167" i="3" s="1"/>
  <c r="E167" i="3"/>
  <c r="D167" i="3"/>
  <c r="F167" i="3" s="1"/>
  <c r="C167" i="3"/>
  <c r="U166" i="3"/>
  <c r="R166" i="3"/>
  <c r="M166" i="3"/>
  <c r="O166" i="3" s="1"/>
  <c r="E166" i="3"/>
  <c r="D166" i="3"/>
  <c r="F166" i="3" s="1"/>
  <c r="C166" i="3"/>
  <c r="U165" i="3"/>
  <c r="R165" i="3"/>
  <c r="M165" i="3"/>
  <c r="O165" i="3" s="1"/>
  <c r="E165" i="3"/>
  <c r="D165" i="3"/>
  <c r="F165" i="3" s="1"/>
  <c r="C165" i="3"/>
  <c r="U164" i="3"/>
  <c r="R164" i="3"/>
  <c r="M164" i="3"/>
  <c r="O164" i="3" s="1"/>
  <c r="E164" i="3"/>
  <c r="D164" i="3"/>
  <c r="F164" i="3" s="1"/>
  <c r="C164" i="3"/>
  <c r="U163" i="3"/>
  <c r="R163" i="3"/>
  <c r="M163" i="3"/>
  <c r="O163" i="3" s="1"/>
  <c r="E163" i="3"/>
  <c r="D163" i="3"/>
  <c r="F163" i="3" s="1"/>
  <c r="C163" i="3"/>
  <c r="U162" i="3"/>
  <c r="R162" i="3"/>
  <c r="M162" i="3"/>
  <c r="O162" i="3" s="1"/>
  <c r="E162" i="3"/>
  <c r="D162" i="3"/>
  <c r="F162" i="3" s="1"/>
  <c r="C162" i="3"/>
  <c r="U161" i="3"/>
  <c r="R161" i="3"/>
  <c r="M161" i="3"/>
  <c r="O161" i="3" s="1"/>
  <c r="E161" i="3"/>
  <c r="D161" i="3"/>
  <c r="F161" i="3" s="1"/>
  <c r="C161" i="3"/>
  <c r="U160" i="3"/>
  <c r="R160" i="3"/>
  <c r="M160" i="3"/>
  <c r="O160" i="3" s="1"/>
  <c r="W187" i="3" s="1"/>
  <c r="E160" i="3"/>
  <c r="D160" i="3"/>
  <c r="F160" i="3" s="1"/>
  <c r="C160" i="3"/>
  <c r="W185" i="3" s="1"/>
  <c r="U159" i="3"/>
  <c r="R159" i="3"/>
  <c r="M159" i="3"/>
  <c r="O159" i="3" s="1"/>
  <c r="E159" i="3"/>
  <c r="D159" i="3"/>
  <c r="F159" i="3" s="1"/>
  <c r="C159" i="3"/>
  <c r="U158" i="3"/>
  <c r="R158" i="3"/>
  <c r="M158" i="3"/>
  <c r="O158" i="3" s="1"/>
  <c r="E158" i="3"/>
  <c r="D158" i="3"/>
  <c r="F158" i="3" s="1"/>
  <c r="C158" i="3"/>
  <c r="U157" i="3"/>
  <c r="R157" i="3"/>
  <c r="M157" i="3"/>
  <c r="O157" i="3" s="1"/>
  <c r="E157" i="3"/>
  <c r="D157" i="3"/>
  <c r="F157" i="3" s="1"/>
  <c r="C157" i="3"/>
  <c r="W156" i="3"/>
  <c r="U156" i="3"/>
  <c r="R156" i="3"/>
  <c r="M156" i="3"/>
  <c r="O156" i="3" s="1"/>
  <c r="E156" i="3"/>
  <c r="D156" i="3"/>
  <c r="F156" i="3" s="1"/>
  <c r="C156" i="3"/>
  <c r="U155" i="3"/>
  <c r="R155" i="3"/>
  <c r="M155" i="3"/>
  <c r="O155" i="3" s="1"/>
  <c r="E155" i="3"/>
  <c r="D155" i="3"/>
  <c r="F155" i="3" s="1"/>
  <c r="C155" i="3"/>
  <c r="U154" i="3"/>
  <c r="R154" i="3"/>
  <c r="M154" i="3"/>
  <c r="O154" i="3" s="1"/>
  <c r="E154" i="3"/>
  <c r="D154" i="3"/>
  <c r="F154" i="3" s="1"/>
  <c r="C154" i="3"/>
  <c r="U153" i="3"/>
  <c r="R153" i="3"/>
  <c r="M153" i="3"/>
  <c r="O153" i="3" s="1"/>
  <c r="E153" i="3"/>
  <c r="D153" i="3"/>
  <c r="F153" i="3" s="1"/>
  <c r="C153" i="3"/>
  <c r="U152" i="3"/>
  <c r="R152" i="3"/>
  <c r="M152" i="3"/>
  <c r="O152" i="3" s="1"/>
  <c r="E152" i="3"/>
  <c r="D152" i="3"/>
  <c r="F152" i="3" s="1"/>
  <c r="C152" i="3"/>
  <c r="U151" i="3"/>
  <c r="R151" i="3"/>
  <c r="M151" i="3"/>
  <c r="O151" i="3" s="1"/>
  <c r="E151" i="3"/>
  <c r="D151" i="3"/>
  <c r="F151" i="3" s="1"/>
  <c r="C151" i="3"/>
  <c r="U150" i="3"/>
  <c r="R150" i="3"/>
  <c r="M150" i="3"/>
  <c r="O150" i="3" s="1"/>
  <c r="E150" i="3"/>
  <c r="D150" i="3"/>
  <c r="F150" i="3" s="1"/>
  <c r="C150" i="3"/>
  <c r="U149" i="3"/>
  <c r="R149" i="3"/>
  <c r="M149" i="3"/>
  <c r="O149" i="3" s="1"/>
  <c r="E149" i="3"/>
  <c r="D149" i="3"/>
  <c r="F149" i="3" s="1"/>
  <c r="C149" i="3"/>
  <c r="U148" i="3"/>
  <c r="R148" i="3"/>
  <c r="M148" i="3"/>
  <c r="O148" i="3" s="1"/>
  <c r="E148" i="3"/>
  <c r="D148" i="3"/>
  <c r="F148" i="3" s="1"/>
  <c r="C148" i="3"/>
  <c r="U147" i="3"/>
  <c r="R147" i="3"/>
  <c r="M147" i="3"/>
  <c r="O147" i="3" s="1"/>
  <c r="E147" i="3"/>
  <c r="D147" i="3"/>
  <c r="F147" i="3" s="1"/>
  <c r="C147" i="3"/>
  <c r="U146" i="3"/>
  <c r="R146" i="3"/>
  <c r="M146" i="3"/>
  <c r="O146" i="3" s="1"/>
  <c r="E146" i="3"/>
  <c r="D146" i="3"/>
  <c r="F146" i="3" s="1"/>
  <c r="C146" i="3"/>
  <c r="U145" i="3"/>
  <c r="R145" i="3"/>
  <c r="M145" i="3"/>
  <c r="O145" i="3" s="1"/>
  <c r="E145" i="3"/>
  <c r="D145" i="3"/>
  <c r="F145" i="3" s="1"/>
  <c r="C145" i="3"/>
  <c r="U144" i="3"/>
  <c r="R144" i="3"/>
  <c r="M144" i="3"/>
  <c r="O144" i="3" s="1"/>
  <c r="E144" i="3"/>
  <c r="D144" i="3"/>
  <c r="F144" i="3" s="1"/>
  <c r="C144" i="3"/>
  <c r="U143" i="3"/>
  <c r="R143" i="3"/>
  <c r="M143" i="3"/>
  <c r="O143" i="3" s="1"/>
  <c r="E143" i="3"/>
  <c r="D143" i="3"/>
  <c r="F143" i="3" s="1"/>
  <c r="C143" i="3"/>
  <c r="U142" i="3"/>
  <c r="R142" i="3"/>
  <c r="M142" i="3"/>
  <c r="O142" i="3" s="1"/>
  <c r="E142" i="3"/>
  <c r="D142" i="3"/>
  <c r="F142" i="3" s="1"/>
  <c r="C142" i="3"/>
  <c r="U141" i="3"/>
  <c r="R141" i="3"/>
  <c r="M141" i="3"/>
  <c r="O141" i="3" s="1"/>
  <c r="E141" i="3"/>
  <c r="D141" i="3"/>
  <c r="F141" i="3" s="1"/>
  <c r="C141" i="3"/>
  <c r="U140" i="3"/>
  <c r="R140" i="3"/>
  <c r="M140" i="3"/>
  <c r="O140" i="3" s="1"/>
  <c r="E140" i="3"/>
  <c r="D140" i="3"/>
  <c r="F140" i="3" s="1"/>
  <c r="C140" i="3"/>
  <c r="U139" i="3"/>
  <c r="R139" i="3"/>
  <c r="M139" i="3"/>
  <c r="O139" i="3" s="1"/>
  <c r="E139" i="3"/>
  <c r="D139" i="3"/>
  <c r="F139" i="3" s="1"/>
  <c r="C139" i="3"/>
  <c r="U138" i="3"/>
  <c r="R138" i="3"/>
  <c r="M138" i="3"/>
  <c r="O138" i="3" s="1"/>
  <c r="E138" i="3"/>
  <c r="D138" i="3"/>
  <c r="F138" i="3" s="1"/>
  <c r="C138" i="3"/>
  <c r="U137" i="3"/>
  <c r="R137" i="3"/>
  <c r="M137" i="3"/>
  <c r="O137" i="3" s="1"/>
  <c r="E137" i="3"/>
  <c r="D137" i="3"/>
  <c r="F137" i="3" s="1"/>
  <c r="C137" i="3"/>
  <c r="U136" i="3"/>
  <c r="R136" i="3"/>
  <c r="M136" i="3"/>
  <c r="O136" i="3" s="1"/>
  <c r="E136" i="3"/>
  <c r="D136" i="3"/>
  <c r="F136" i="3" s="1"/>
  <c r="C136" i="3"/>
  <c r="U135" i="3"/>
  <c r="R135" i="3"/>
  <c r="M135" i="3"/>
  <c r="O135" i="3" s="1"/>
  <c r="E135" i="3"/>
  <c r="D135" i="3"/>
  <c r="F135" i="3" s="1"/>
  <c r="C135" i="3"/>
  <c r="U134" i="3"/>
  <c r="R134" i="3"/>
  <c r="M134" i="3"/>
  <c r="O134" i="3" s="1"/>
  <c r="E134" i="3"/>
  <c r="D134" i="3"/>
  <c r="F134" i="3" s="1"/>
  <c r="C134" i="3"/>
  <c r="U133" i="3"/>
  <c r="R133" i="3"/>
  <c r="M133" i="3"/>
  <c r="O133" i="3" s="1"/>
  <c r="E133" i="3"/>
  <c r="D133" i="3"/>
  <c r="F133" i="3" s="1"/>
  <c r="C133" i="3"/>
  <c r="U132" i="3"/>
  <c r="R132" i="3"/>
  <c r="M132" i="3"/>
  <c r="O132" i="3" s="1"/>
  <c r="E132" i="3"/>
  <c r="D132" i="3"/>
  <c r="F132" i="3" s="1"/>
  <c r="C132" i="3"/>
  <c r="U131" i="3"/>
  <c r="R131" i="3"/>
  <c r="M131" i="3"/>
  <c r="O131" i="3" s="1"/>
  <c r="E131" i="3"/>
  <c r="D131" i="3"/>
  <c r="F131" i="3" s="1"/>
  <c r="C131" i="3"/>
  <c r="U130" i="3"/>
  <c r="R130" i="3"/>
  <c r="M130" i="3"/>
  <c r="O130" i="3" s="1"/>
  <c r="E130" i="3"/>
  <c r="D130" i="3"/>
  <c r="F130" i="3" s="1"/>
  <c r="C130" i="3"/>
  <c r="U129" i="3"/>
  <c r="R129" i="3"/>
  <c r="M129" i="3"/>
  <c r="O129" i="3" s="1"/>
  <c r="W157" i="3" s="1"/>
  <c r="E129" i="3"/>
  <c r="D129" i="3"/>
  <c r="F129" i="3" s="1"/>
  <c r="C129" i="3"/>
  <c r="W155" i="3" s="1"/>
  <c r="U128" i="3"/>
  <c r="R128" i="3"/>
  <c r="M128" i="3"/>
  <c r="O128" i="3" s="1"/>
  <c r="E128" i="3"/>
  <c r="D128" i="3"/>
  <c r="F128" i="3" s="1"/>
  <c r="C128" i="3"/>
  <c r="U127" i="3"/>
  <c r="R127" i="3"/>
  <c r="M127" i="3"/>
  <c r="O127" i="3" s="1"/>
  <c r="E127" i="3"/>
  <c r="D127" i="3"/>
  <c r="F127" i="3" s="1"/>
  <c r="C127" i="3"/>
  <c r="U126" i="3"/>
  <c r="R126" i="3"/>
  <c r="M126" i="3"/>
  <c r="O126" i="3" s="1"/>
  <c r="E126" i="3"/>
  <c r="D126" i="3"/>
  <c r="F126" i="3" s="1"/>
  <c r="C126" i="3"/>
  <c r="W125" i="3"/>
  <c r="U125" i="3"/>
  <c r="R125" i="3"/>
  <c r="M125" i="3"/>
  <c r="O125" i="3" s="1"/>
  <c r="E125" i="3"/>
  <c r="D125" i="3"/>
  <c r="F125" i="3" s="1"/>
  <c r="C125" i="3"/>
  <c r="U124" i="3"/>
  <c r="R124" i="3"/>
  <c r="M124" i="3"/>
  <c r="O124" i="3" s="1"/>
  <c r="E124" i="3"/>
  <c r="D124" i="3"/>
  <c r="F124" i="3" s="1"/>
  <c r="C124" i="3"/>
  <c r="U123" i="3"/>
  <c r="R123" i="3"/>
  <c r="M123" i="3"/>
  <c r="O123" i="3" s="1"/>
  <c r="E123" i="3"/>
  <c r="D123" i="3"/>
  <c r="F123" i="3" s="1"/>
  <c r="C123" i="3"/>
  <c r="U122" i="3"/>
  <c r="R122" i="3"/>
  <c r="M122" i="3"/>
  <c r="O122" i="3" s="1"/>
  <c r="E122" i="3"/>
  <c r="D122" i="3"/>
  <c r="F122" i="3" s="1"/>
  <c r="C122" i="3"/>
  <c r="U121" i="3"/>
  <c r="R121" i="3"/>
  <c r="M121" i="3"/>
  <c r="O121" i="3" s="1"/>
  <c r="E121" i="3"/>
  <c r="D121" i="3"/>
  <c r="F121" i="3" s="1"/>
  <c r="C121" i="3"/>
  <c r="U120" i="3"/>
  <c r="R120" i="3"/>
  <c r="M120" i="3"/>
  <c r="O120" i="3" s="1"/>
  <c r="E120" i="3"/>
  <c r="D120" i="3"/>
  <c r="F120" i="3" s="1"/>
  <c r="C120" i="3"/>
  <c r="U119" i="3"/>
  <c r="R119" i="3"/>
  <c r="M119" i="3"/>
  <c r="O119" i="3" s="1"/>
  <c r="E119" i="3"/>
  <c r="D119" i="3"/>
  <c r="F119" i="3" s="1"/>
  <c r="C119" i="3"/>
  <c r="U118" i="3"/>
  <c r="R118" i="3"/>
  <c r="M118" i="3"/>
  <c r="O118" i="3" s="1"/>
  <c r="E118" i="3"/>
  <c r="D118" i="3"/>
  <c r="F118" i="3" s="1"/>
  <c r="C118" i="3"/>
  <c r="U117" i="3"/>
  <c r="R117" i="3"/>
  <c r="M117" i="3"/>
  <c r="O117" i="3" s="1"/>
  <c r="E117" i="3"/>
  <c r="D117" i="3"/>
  <c r="F117" i="3" s="1"/>
  <c r="C117" i="3"/>
  <c r="U116" i="3"/>
  <c r="R116" i="3"/>
  <c r="M116" i="3"/>
  <c r="O116" i="3" s="1"/>
  <c r="E116" i="3"/>
  <c r="D116" i="3"/>
  <c r="F116" i="3" s="1"/>
  <c r="C116" i="3"/>
  <c r="U115" i="3"/>
  <c r="R115" i="3"/>
  <c r="M115" i="3"/>
  <c r="O115" i="3" s="1"/>
  <c r="E115" i="3"/>
  <c r="D115" i="3"/>
  <c r="F115" i="3" s="1"/>
  <c r="C115" i="3"/>
  <c r="U114" i="3"/>
  <c r="R114" i="3"/>
  <c r="M114" i="3"/>
  <c r="O114" i="3" s="1"/>
  <c r="E114" i="3"/>
  <c r="D114" i="3"/>
  <c r="F114" i="3" s="1"/>
  <c r="C114" i="3"/>
  <c r="U113" i="3"/>
  <c r="R113" i="3"/>
  <c r="M113" i="3"/>
  <c r="O113" i="3" s="1"/>
  <c r="E113" i="3"/>
  <c r="D113" i="3"/>
  <c r="F113" i="3" s="1"/>
  <c r="C113" i="3"/>
  <c r="U112" i="3"/>
  <c r="R112" i="3"/>
  <c r="M112" i="3"/>
  <c r="O112" i="3" s="1"/>
  <c r="E112" i="3"/>
  <c r="D112" i="3"/>
  <c r="F112" i="3" s="1"/>
  <c r="C112" i="3"/>
  <c r="U111" i="3"/>
  <c r="R111" i="3"/>
  <c r="M111" i="3"/>
  <c r="O111" i="3" s="1"/>
  <c r="E111" i="3"/>
  <c r="D111" i="3"/>
  <c r="F111" i="3" s="1"/>
  <c r="C111" i="3"/>
  <c r="U110" i="3"/>
  <c r="R110" i="3"/>
  <c r="M110" i="3"/>
  <c r="O110" i="3" s="1"/>
  <c r="E110" i="3"/>
  <c r="D110" i="3"/>
  <c r="F110" i="3" s="1"/>
  <c r="C110" i="3"/>
  <c r="U109" i="3"/>
  <c r="R109" i="3"/>
  <c r="M109" i="3"/>
  <c r="O109" i="3" s="1"/>
  <c r="E109" i="3"/>
  <c r="D109" i="3"/>
  <c r="F109" i="3" s="1"/>
  <c r="C109" i="3"/>
  <c r="U108" i="3"/>
  <c r="R108" i="3"/>
  <c r="M108" i="3"/>
  <c r="O108" i="3" s="1"/>
  <c r="E108" i="3"/>
  <c r="D108" i="3"/>
  <c r="F108" i="3" s="1"/>
  <c r="C108" i="3"/>
  <c r="U107" i="3"/>
  <c r="R107" i="3"/>
  <c r="M107" i="3"/>
  <c r="O107" i="3" s="1"/>
  <c r="E107" i="3"/>
  <c r="D107" i="3"/>
  <c r="F107" i="3" s="1"/>
  <c r="C107" i="3"/>
  <c r="U106" i="3"/>
  <c r="R106" i="3"/>
  <c r="M106" i="3"/>
  <c r="O106" i="3" s="1"/>
  <c r="E106" i="3"/>
  <c r="D106" i="3"/>
  <c r="F106" i="3" s="1"/>
  <c r="C106" i="3"/>
  <c r="U105" i="3"/>
  <c r="R105" i="3"/>
  <c r="M105" i="3"/>
  <c r="O105" i="3" s="1"/>
  <c r="E105" i="3"/>
  <c r="D105" i="3"/>
  <c r="F105" i="3" s="1"/>
  <c r="C105" i="3"/>
  <c r="U104" i="3"/>
  <c r="R104" i="3"/>
  <c r="M104" i="3"/>
  <c r="O104" i="3" s="1"/>
  <c r="E104" i="3"/>
  <c r="D104" i="3"/>
  <c r="F104" i="3" s="1"/>
  <c r="C104" i="3"/>
  <c r="U103" i="3"/>
  <c r="R103" i="3"/>
  <c r="M103" i="3"/>
  <c r="O103" i="3" s="1"/>
  <c r="E103" i="3"/>
  <c r="D103" i="3"/>
  <c r="F103" i="3" s="1"/>
  <c r="C103" i="3"/>
  <c r="U102" i="3"/>
  <c r="R102" i="3"/>
  <c r="M102" i="3"/>
  <c r="O102" i="3" s="1"/>
  <c r="E102" i="3"/>
  <c r="D102" i="3"/>
  <c r="F102" i="3" s="1"/>
  <c r="C102" i="3"/>
  <c r="U101" i="3"/>
  <c r="R101" i="3"/>
  <c r="M101" i="3"/>
  <c r="O101" i="3" s="1"/>
  <c r="E101" i="3"/>
  <c r="D101" i="3"/>
  <c r="F101" i="3" s="1"/>
  <c r="C101" i="3"/>
  <c r="U100" i="3"/>
  <c r="R100" i="3"/>
  <c r="M100" i="3"/>
  <c r="O100" i="3" s="1"/>
  <c r="E100" i="3"/>
  <c r="D100" i="3"/>
  <c r="F100" i="3" s="1"/>
  <c r="C100" i="3"/>
  <c r="U99" i="3"/>
  <c r="R99" i="3"/>
  <c r="M99" i="3"/>
  <c r="O99" i="3" s="1"/>
  <c r="E99" i="3"/>
  <c r="D99" i="3"/>
  <c r="F99" i="3" s="1"/>
  <c r="C99" i="3"/>
  <c r="U98" i="3"/>
  <c r="R98" i="3"/>
  <c r="M98" i="3"/>
  <c r="O98" i="3" s="1"/>
  <c r="W126" i="3" s="1"/>
  <c r="E98" i="3"/>
  <c r="D98" i="3"/>
  <c r="F98" i="3" s="1"/>
  <c r="C98" i="3"/>
  <c r="W124" i="3" s="1"/>
  <c r="U97" i="3"/>
  <c r="R97" i="3"/>
  <c r="M97" i="3"/>
  <c r="O97" i="3" s="1"/>
  <c r="E97" i="3"/>
  <c r="D97" i="3"/>
  <c r="F97" i="3" s="1"/>
  <c r="C97" i="3"/>
  <c r="E96" i="3"/>
  <c r="D96" i="3"/>
  <c r="F96" i="3" s="1"/>
  <c r="C96" i="3"/>
  <c r="U95" i="3"/>
  <c r="R95" i="3"/>
  <c r="M95" i="3"/>
  <c r="O95" i="3" s="1"/>
  <c r="E95" i="3"/>
  <c r="D95" i="3"/>
  <c r="F95" i="3" s="1"/>
  <c r="C95" i="3"/>
  <c r="W94" i="3"/>
  <c r="U94" i="3"/>
  <c r="R94" i="3"/>
  <c r="M94" i="3"/>
  <c r="O94" i="3" s="1"/>
  <c r="E94" i="3"/>
  <c r="D94" i="3"/>
  <c r="F94" i="3" s="1"/>
  <c r="C94" i="3"/>
  <c r="U93" i="3"/>
  <c r="R93" i="3"/>
  <c r="M93" i="3"/>
  <c r="O93" i="3" s="1"/>
  <c r="E93" i="3"/>
  <c r="D93" i="3"/>
  <c r="F93" i="3" s="1"/>
  <c r="C93" i="3"/>
  <c r="U92" i="3"/>
  <c r="R92" i="3"/>
  <c r="M92" i="3"/>
  <c r="O92" i="3" s="1"/>
  <c r="E92" i="3"/>
  <c r="D92" i="3"/>
  <c r="F92" i="3" s="1"/>
  <c r="C92" i="3"/>
  <c r="U91" i="3"/>
  <c r="R91" i="3"/>
  <c r="M91" i="3"/>
  <c r="O91" i="3" s="1"/>
  <c r="E91" i="3"/>
  <c r="D91" i="3"/>
  <c r="F91" i="3" s="1"/>
  <c r="C91" i="3"/>
  <c r="U90" i="3"/>
  <c r="R90" i="3"/>
  <c r="M90" i="3"/>
  <c r="O90" i="3" s="1"/>
  <c r="E90" i="3"/>
  <c r="D90" i="3"/>
  <c r="F90" i="3" s="1"/>
  <c r="C90" i="3"/>
  <c r="U89" i="3"/>
  <c r="R89" i="3"/>
  <c r="M89" i="3"/>
  <c r="O89" i="3" s="1"/>
  <c r="E89" i="3"/>
  <c r="D89" i="3"/>
  <c r="F89" i="3" s="1"/>
  <c r="C89" i="3"/>
  <c r="U88" i="3"/>
  <c r="R88" i="3"/>
  <c r="M88" i="3"/>
  <c r="O88" i="3" s="1"/>
  <c r="E88" i="3"/>
  <c r="D88" i="3"/>
  <c r="F88" i="3" s="1"/>
  <c r="C88" i="3"/>
  <c r="U87" i="3"/>
  <c r="R87" i="3"/>
  <c r="M87" i="3"/>
  <c r="O87" i="3" s="1"/>
  <c r="E87" i="3"/>
  <c r="D87" i="3"/>
  <c r="F87" i="3" s="1"/>
  <c r="C87" i="3"/>
  <c r="U86" i="3"/>
  <c r="R86" i="3"/>
  <c r="M86" i="3"/>
  <c r="O86" i="3" s="1"/>
  <c r="E86" i="3"/>
  <c r="D86" i="3"/>
  <c r="F86" i="3" s="1"/>
  <c r="C86" i="3"/>
  <c r="U85" i="3"/>
  <c r="R85" i="3"/>
  <c r="M85" i="3"/>
  <c r="O85" i="3" s="1"/>
  <c r="E85" i="3"/>
  <c r="D85" i="3"/>
  <c r="F85" i="3" s="1"/>
  <c r="C85" i="3"/>
  <c r="U84" i="3"/>
  <c r="R84" i="3"/>
  <c r="M84" i="3"/>
  <c r="O84" i="3" s="1"/>
  <c r="E84" i="3"/>
  <c r="D84" i="3"/>
  <c r="F84" i="3" s="1"/>
  <c r="C84" i="3"/>
  <c r="U83" i="3"/>
  <c r="R83" i="3"/>
  <c r="M83" i="3"/>
  <c r="O83" i="3" s="1"/>
  <c r="E83" i="3"/>
  <c r="D83" i="3"/>
  <c r="F83" i="3" s="1"/>
  <c r="C83" i="3"/>
  <c r="U82" i="3"/>
  <c r="R82" i="3"/>
  <c r="M82" i="3"/>
  <c r="O82" i="3" s="1"/>
  <c r="E82" i="3"/>
  <c r="D82" i="3"/>
  <c r="F82" i="3" s="1"/>
  <c r="C82" i="3"/>
  <c r="U81" i="3"/>
  <c r="R81" i="3"/>
  <c r="M81" i="3"/>
  <c r="O81" i="3" s="1"/>
  <c r="E81" i="3"/>
  <c r="D81" i="3"/>
  <c r="F81" i="3" s="1"/>
  <c r="C81" i="3"/>
  <c r="U80" i="3"/>
  <c r="R80" i="3"/>
  <c r="M80" i="3"/>
  <c r="O80" i="3" s="1"/>
  <c r="E80" i="3"/>
  <c r="D80" i="3"/>
  <c r="F80" i="3" s="1"/>
  <c r="C80" i="3"/>
  <c r="U79" i="3"/>
  <c r="R79" i="3"/>
  <c r="M79" i="3"/>
  <c r="O79" i="3" s="1"/>
  <c r="E79" i="3"/>
  <c r="D79" i="3"/>
  <c r="F79" i="3" s="1"/>
  <c r="C79" i="3"/>
  <c r="U78" i="3"/>
  <c r="R78" i="3"/>
  <c r="M78" i="3"/>
  <c r="O78" i="3" s="1"/>
  <c r="E78" i="3"/>
  <c r="D78" i="3"/>
  <c r="F78" i="3" s="1"/>
  <c r="C78" i="3"/>
  <c r="U77" i="3"/>
  <c r="R77" i="3"/>
  <c r="M77" i="3"/>
  <c r="O77" i="3" s="1"/>
  <c r="E77" i="3"/>
  <c r="D77" i="3"/>
  <c r="F77" i="3" s="1"/>
  <c r="C77" i="3"/>
  <c r="U76" i="3"/>
  <c r="R76" i="3"/>
  <c r="M76" i="3"/>
  <c r="O76" i="3" s="1"/>
  <c r="E76" i="3"/>
  <c r="D76" i="3"/>
  <c r="F76" i="3" s="1"/>
  <c r="C76" i="3"/>
  <c r="U75" i="3"/>
  <c r="R75" i="3"/>
  <c r="M75" i="3"/>
  <c r="O75" i="3" s="1"/>
  <c r="E75" i="3"/>
  <c r="D75" i="3"/>
  <c r="F75" i="3" s="1"/>
  <c r="C75" i="3"/>
  <c r="U74" i="3"/>
  <c r="R74" i="3"/>
  <c r="M74" i="3"/>
  <c r="O74" i="3" s="1"/>
  <c r="E74" i="3"/>
  <c r="D74" i="3"/>
  <c r="F74" i="3" s="1"/>
  <c r="C74" i="3"/>
  <c r="U73" i="3"/>
  <c r="R73" i="3"/>
  <c r="M73" i="3"/>
  <c r="O73" i="3" s="1"/>
  <c r="E73" i="3"/>
  <c r="D73" i="3"/>
  <c r="F73" i="3" s="1"/>
  <c r="C73" i="3"/>
  <c r="U72" i="3"/>
  <c r="R72" i="3"/>
  <c r="M72" i="3"/>
  <c r="O72" i="3" s="1"/>
  <c r="E72" i="3"/>
  <c r="D72" i="3"/>
  <c r="F72" i="3" s="1"/>
  <c r="C72" i="3"/>
  <c r="U71" i="3"/>
  <c r="R71" i="3"/>
  <c r="M71" i="3"/>
  <c r="O71" i="3" s="1"/>
  <c r="E71" i="3"/>
  <c r="D71" i="3"/>
  <c r="F71" i="3" s="1"/>
  <c r="C71" i="3"/>
  <c r="U70" i="3"/>
  <c r="R70" i="3"/>
  <c r="M70" i="3"/>
  <c r="O70" i="3" s="1"/>
  <c r="E70" i="3"/>
  <c r="D70" i="3"/>
  <c r="F70" i="3" s="1"/>
  <c r="C70" i="3"/>
  <c r="U69" i="3"/>
  <c r="R69" i="3"/>
  <c r="M69" i="3"/>
  <c r="O69" i="3" s="1"/>
  <c r="E69" i="3"/>
  <c r="D69" i="3"/>
  <c r="F69" i="3" s="1"/>
  <c r="C69" i="3"/>
  <c r="U68" i="3"/>
  <c r="R68" i="3"/>
  <c r="M68" i="3"/>
  <c r="O68" i="3" s="1"/>
  <c r="W95" i="3" s="1"/>
  <c r="E68" i="3"/>
  <c r="D68" i="3"/>
  <c r="F68" i="3" s="1"/>
  <c r="C68" i="3"/>
  <c r="W93" i="3" s="1"/>
  <c r="U67" i="3"/>
  <c r="R67" i="3"/>
  <c r="M67" i="3"/>
  <c r="O67" i="3" s="1"/>
  <c r="E67" i="3"/>
  <c r="D67" i="3"/>
  <c r="F67" i="3" s="1"/>
  <c r="C67" i="3"/>
  <c r="U66" i="3"/>
  <c r="R66" i="3"/>
  <c r="M66" i="3"/>
  <c r="O66" i="3" s="1"/>
  <c r="E66" i="3"/>
  <c r="D66" i="3"/>
  <c r="F66" i="3" s="1"/>
  <c r="C66" i="3"/>
  <c r="U65" i="3"/>
  <c r="R65" i="3"/>
  <c r="M65" i="3"/>
  <c r="O65" i="3" s="1"/>
  <c r="E65" i="3"/>
  <c r="D65" i="3"/>
  <c r="F65" i="3" s="1"/>
  <c r="C65" i="3"/>
  <c r="W64" i="3"/>
  <c r="U64" i="3"/>
  <c r="R64" i="3"/>
  <c r="M64" i="3"/>
  <c r="O64" i="3" s="1"/>
  <c r="E64" i="3"/>
  <c r="D64" i="3"/>
  <c r="F64" i="3" s="1"/>
  <c r="C64" i="3"/>
  <c r="U63" i="3"/>
  <c r="R63" i="3"/>
  <c r="M63" i="3"/>
  <c r="O63" i="3" s="1"/>
  <c r="E63" i="3"/>
  <c r="D63" i="3"/>
  <c r="F63" i="3" s="1"/>
  <c r="C63" i="3"/>
  <c r="U62" i="3"/>
  <c r="R62" i="3"/>
  <c r="M62" i="3"/>
  <c r="O62" i="3" s="1"/>
  <c r="E62" i="3"/>
  <c r="D62" i="3"/>
  <c r="F62" i="3" s="1"/>
  <c r="C62" i="3"/>
  <c r="U61" i="3"/>
  <c r="R61" i="3"/>
  <c r="M61" i="3"/>
  <c r="O61" i="3" s="1"/>
  <c r="E61" i="3"/>
  <c r="D61" i="3"/>
  <c r="F61" i="3" s="1"/>
  <c r="C61" i="3"/>
  <c r="U60" i="3"/>
  <c r="R60" i="3"/>
  <c r="M60" i="3"/>
  <c r="O60" i="3" s="1"/>
  <c r="E60" i="3"/>
  <c r="D60" i="3"/>
  <c r="F60" i="3" s="1"/>
  <c r="C60" i="3"/>
  <c r="U59" i="3"/>
  <c r="R59" i="3"/>
  <c r="M59" i="3"/>
  <c r="O59" i="3" s="1"/>
  <c r="E59" i="3"/>
  <c r="D59" i="3"/>
  <c r="F59" i="3" s="1"/>
  <c r="C59" i="3"/>
  <c r="U58" i="3"/>
  <c r="R58" i="3"/>
  <c r="M58" i="3"/>
  <c r="O58" i="3" s="1"/>
  <c r="E58" i="3"/>
  <c r="D58" i="3"/>
  <c r="F58" i="3" s="1"/>
  <c r="C58" i="3"/>
  <c r="U57" i="3"/>
  <c r="R57" i="3"/>
  <c r="M57" i="3"/>
  <c r="O57" i="3" s="1"/>
  <c r="E57" i="3"/>
  <c r="D57" i="3"/>
  <c r="F57" i="3" s="1"/>
  <c r="C57" i="3"/>
  <c r="U56" i="3"/>
  <c r="R56" i="3"/>
  <c r="M56" i="3"/>
  <c r="O56" i="3" s="1"/>
  <c r="E56" i="3"/>
  <c r="D56" i="3"/>
  <c r="F56" i="3" s="1"/>
  <c r="C56" i="3"/>
  <c r="U55" i="3"/>
  <c r="R55" i="3"/>
  <c r="M55" i="3"/>
  <c r="O55" i="3" s="1"/>
  <c r="E55" i="3"/>
  <c r="D55" i="3"/>
  <c r="F55" i="3" s="1"/>
  <c r="C55" i="3"/>
  <c r="U54" i="3"/>
  <c r="R54" i="3"/>
  <c r="M54" i="3"/>
  <c r="O54" i="3" s="1"/>
  <c r="E54" i="3"/>
  <c r="D54" i="3"/>
  <c r="F54" i="3" s="1"/>
  <c r="C54" i="3"/>
  <c r="U53" i="3"/>
  <c r="R53" i="3"/>
  <c r="M53" i="3"/>
  <c r="O53" i="3" s="1"/>
  <c r="E53" i="3"/>
  <c r="D53" i="3"/>
  <c r="F53" i="3" s="1"/>
  <c r="C53" i="3"/>
  <c r="U52" i="3"/>
  <c r="R52" i="3"/>
  <c r="M52" i="3"/>
  <c r="O52" i="3" s="1"/>
  <c r="E52" i="3"/>
  <c r="D52" i="3"/>
  <c r="F52" i="3" s="1"/>
  <c r="C52" i="3"/>
  <c r="U51" i="3"/>
  <c r="R51" i="3"/>
  <c r="M51" i="3"/>
  <c r="O51" i="3" s="1"/>
  <c r="E51" i="3"/>
  <c r="D51" i="3"/>
  <c r="F51" i="3" s="1"/>
  <c r="C51" i="3"/>
  <c r="U50" i="3"/>
  <c r="R50" i="3"/>
  <c r="M50" i="3"/>
  <c r="O50" i="3" s="1"/>
  <c r="E50" i="3"/>
  <c r="D50" i="3"/>
  <c r="F50" i="3" s="1"/>
  <c r="C50" i="3"/>
  <c r="U49" i="3"/>
  <c r="R49" i="3"/>
  <c r="M49" i="3"/>
  <c r="O49" i="3" s="1"/>
  <c r="E49" i="3"/>
  <c r="D49" i="3"/>
  <c r="F49" i="3" s="1"/>
  <c r="C49" i="3"/>
  <c r="U48" i="3"/>
  <c r="R48" i="3"/>
  <c r="M48" i="3"/>
  <c r="O48" i="3" s="1"/>
  <c r="E48" i="3"/>
  <c r="D48" i="3"/>
  <c r="F48" i="3" s="1"/>
  <c r="C48" i="3"/>
  <c r="U47" i="3"/>
  <c r="R47" i="3"/>
  <c r="M47" i="3"/>
  <c r="O47" i="3" s="1"/>
  <c r="E47" i="3"/>
  <c r="D47" i="3"/>
  <c r="F47" i="3" s="1"/>
  <c r="C47" i="3"/>
  <c r="U46" i="3"/>
  <c r="R46" i="3"/>
  <c r="M46" i="3"/>
  <c r="O46" i="3" s="1"/>
  <c r="E46" i="3"/>
  <c r="D46" i="3"/>
  <c r="F46" i="3" s="1"/>
  <c r="C46" i="3"/>
  <c r="U45" i="3"/>
  <c r="R45" i="3"/>
  <c r="M45" i="3"/>
  <c r="O45" i="3" s="1"/>
  <c r="E45" i="3"/>
  <c r="D45" i="3"/>
  <c r="F45" i="3" s="1"/>
  <c r="C45" i="3"/>
  <c r="U44" i="3"/>
  <c r="R44" i="3"/>
  <c r="M44" i="3"/>
  <c r="O44" i="3" s="1"/>
  <c r="E44" i="3"/>
  <c r="D44" i="3"/>
  <c r="F44" i="3" s="1"/>
  <c r="C44" i="3"/>
  <c r="U43" i="3"/>
  <c r="R43" i="3"/>
  <c r="M43" i="3"/>
  <c r="O43" i="3" s="1"/>
  <c r="E43" i="3"/>
  <c r="D43" i="3"/>
  <c r="F43" i="3" s="1"/>
  <c r="C43" i="3"/>
  <c r="U42" i="3"/>
  <c r="R42" i="3"/>
  <c r="M42" i="3"/>
  <c r="O42" i="3" s="1"/>
  <c r="E42" i="3"/>
  <c r="D42" i="3"/>
  <c r="F42" i="3" s="1"/>
  <c r="C42" i="3"/>
  <c r="U41" i="3"/>
  <c r="R41" i="3"/>
  <c r="M41" i="3"/>
  <c r="O41" i="3" s="1"/>
  <c r="E41" i="3"/>
  <c r="D41" i="3"/>
  <c r="F41" i="3" s="1"/>
  <c r="C41" i="3"/>
  <c r="U40" i="3"/>
  <c r="R40" i="3"/>
  <c r="M40" i="3"/>
  <c r="O40" i="3" s="1"/>
  <c r="E40" i="3"/>
  <c r="D40" i="3"/>
  <c r="F40" i="3" s="1"/>
  <c r="C40" i="3"/>
  <c r="U39" i="3"/>
  <c r="R39" i="3"/>
  <c r="M39" i="3"/>
  <c r="O39" i="3" s="1"/>
  <c r="E39" i="3"/>
  <c r="D39" i="3"/>
  <c r="F39" i="3" s="1"/>
  <c r="C39" i="3"/>
  <c r="U38" i="3"/>
  <c r="R38" i="3"/>
  <c r="M38" i="3"/>
  <c r="O38" i="3" s="1"/>
  <c r="E38" i="3"/>
  <c r="D38" i="3"/>
  <c r="F38" i="3" s="1"/>
  <c r="C38" i="3"/>
  <c r="U37" i="3"/>
  <c r="R37" i="3"/>
  <c r="M37" i="3"/>
  <c r="O37" i="3" s="1"/>
  <c r="W65" i="3" s="1"/>
  <c r="E37" i="3"/>
  <c r="D37" i="3"/>
  <c r="F37" i="3" s="1"/>
  <c r="C37" i="3"/>
  <c r="W63" i="3" s="1"/>
  <c r="U36" i="3"/>
  <c r="R36" i="3"/>
  <c r="M36" i="3"/>
  <c r="O36" i="3" s="1"/>
  <c r="E36" i="3"/>
  <c r="D36" i="3"/>
  <c r="F36" i="3" s="1"/>
  <c r="C36" i="3"/>
  <c r="U35" i="3"/>
  <c r="R35" i="3"/>
  <c r="M35" i="3"/>
  <c r="O35" i="3" s="1"/>
  <c r="E35" i="3"/>
  <c r="D35" i="3"/>
  <c r="F35" i="3" s="1"/>
  <c r="C35" i="3"/>
  <c r="U34" i="3"/>
  <c r="R34" i="3"/>
  <c r="M34" i="3"/>
  <c r="O34" i="3" s="1"/>
  <c r="E34" i="3"/>
  <c r="D34" i="3"/>
  <c r="F34" i="3" s="1"/>
  <c r="C34" i="3"/>
  <c r="W33" i="3"/>
  <c r="U33" i="3"/>
  <c r="R33" i="3"/>
  <c r="M33" i="3"/>
  <c r="O33" i="3" s="1"/>
  <c r="E33" i="3"/>
  <c r="D33" i="3"/>
  <c r="F33" i="3" s="1"/>
  <c r="C33" i="3"/>
  <c r="U32" i="3"/>
  <c r="R32" i="3"/>
  <c r="M32" i="3"/>
  <c r="O32" i="3" s="1"/>
  <c r="E32" i="3"/>
  <c r="D32" i="3"/>
  <c r="F32" i="3" s="1"/>
  <c r="C32" i="3"/>
  <c r="U31" i="3"/>
  <c r="R31" i="3"/>
  <c r="M31" i="3"/>
  <c r="O31" i="3" s="1"/>
  <c r="E31" i="3"/>
  <c r="D31" i="3"/>
  <c r="F31" i="3" s="1"/>
  <c r="C31" i="3"/>
  <c r="U30" i="3"/>
  <c r="R30" i="3"/>
  <c r="M30" i="3"/>
  <c r="O30" i="3" s="1"/>
  <c r="E30" i="3"/>
  <c r="D30" i="3"/>
  <c r="F30" i="3" s="1"/>
  <c r="C30" i="3"/>
  <c r="U29" i="3"/>
  <c r="R29" i="3"/>
  <c r="M29" i="3"/>
  <c r="O29" i="3" s="1"/>
  <c r="E29" i="3"/>
  <c r="D29" i="3"/>
  <c r="F29" i="3" s="1"/>
  <c r="C29" i="3"/>
  <c r="U28" i="3"/>
  <c r="R28" i="3"/>
  <c r="M28" i="3"/>
  <c r="O28" i="3" s="1"/>
  <c r="E28" i="3"/>
  <c r="D28" i="3"/>
  <c r="F28" i="3" s="1"/>
  <c r="C28" i="3"/>
  <c r="U27" i="3"/>
  <c r="R27" i="3"/>
  <c r="M27" i="3"/>
  <c r="O27" i="3" s="1"/>
  <c r="E27" i="3"/>
  <c r="D27" i="3"/>
  <c r="F27" i="3" s="1"/>
  <c r="C27" i="3"/>
  <c r="U26" i="3"/>
  <c r="R26" i="3"/>
  <c r="M26" i="3"/>
  <c r="O26" i="3" s="1"/>
  <c r="E26" i="3"/>
  <c r="D26" i="3"/>
  <c r="F26" i="3" s="1"/>
  <c r="C26" i="3"/>
  <c r="U25" i="3"/>
  <c r="R25" i="3"/>
  <c r="M25" i="3"/>
  <c r="O25" i="3" s="1"/>
  <c r="E25" i="3"/>
  <c r="D25" i="3"/>
  <c r="F25" i="3" s="1"/>
  <c r="C25" i="3"/>
  <c r="U24" i="3"/>
  <c r="R24" i="3"/>
  <c r="M24" i="3"/>
  <c r="O24" i="3" s="1"/>
  <c r="E24" i="3"/>
  <c r="D24" i="3"/>
  <c r="F24" i="3" s="1"/>
  <c r="C24" i="3"/>
  <c r="U23" i="3"/>
  <c r="R23" i="3"/>
  <c r="M23" i="3"/>
  <c r="O23" i="3" s="1"/>
  <c r="E23" i="3"/>
  <c r="D23" i="3"/>
  <c r="F23" i="3" s="1"/>
  <c r="C23" i="3"/>
  <c r="U22" i="3"/>
  <c r="R22" i="3"/>
  <c r="M22" i="3"/>
  <c r="O22" i="3" s="1"/>
  <c r="E22" i="3"/>
  <c r="D22" i="3"/>
  <c r="F22" i="3" s="1"/>
  <c r="C22" i="3"/>
  <c r="U21" i="3"/>
  <c r="R21" i="3"/>
  <c r="M21" i="3"/>
  <c r="O21" i="3" s="1"/>
  <c r="E21" i="3"/>
  <c r="D21" i="3"/>
  <c r="F21" i="3" s="1"/>
  <c r="C21" i="3"/>
  <c r="U20" i="3"/>
  <c r="R20" i="3"/>
  <c r="M20" i="3"/>
  <c r="O20" i="3" s="1"/>
  <c r="E20" i="3"/>
  <c r="D20" i="3"/>
  <c r="F20" i="3" s="1"/>
  <c r="C20" i="3"/>
  <c r="U19" i="3"/>
  <c r="R19" i="3"/>
  <c r="M19" i="3"/>
  <c r="O19" i="3" s="1"/>
  <c r="E19" i="3"/>
  <c r="D19" i="3"/>
  <c r="F19" i="3" s="1"/>
  <c r="C19" i="3"/>
  <c r="U18" i="3"/>
  <c r="R18" i="3"/>
  <c r="M18" i="3"/>
  <c r="O18" i="3" s="1"/>
  <c r="E18" i="3"/>
  <c r="D18" i="3"/>
  <c r="F18" i="3" s="1"/>
  <c r="C18" i="3"/>
  <c r="U17" i="3"/>
  <c r="R17" i="3"/>
  <c r="M17" i="3"/>
  <c r="O17" i="3" s="1"/>
  <c r="E17" i="3"/>
  <c r="D17" i="3"/>
  <c r="F17" i="3" s="1"/>
  <c r="C17" i="3"/>
  <c r="U16" i="3"/>
  <c r="R16" i="3"/>
  <c r="M16" i="3"/>
  <c r="O16" i="3" s="1"/>
  <c r="E16" i="3"/>
  <c r="D16" i="3"/>
  <c r="F16" i="3" s="1"/>
  <c r="C16" i="3"/>
  <c r="U15" i="3"/>
  <c r="R15" i="3"/>
  <c r="M15" i="3"/>
  <c r="O15" i="3" s="1"/>
  <c r="E15" i="3"/>
  <c r="D15" i="3"/>
  <c r="F15" i="3" s="1"/>
  <c r="C15" i="3"/>
  <c r="U14" i="3"/>
  <c r="R14" i="3"/>
  <c r="M14" i="3"/>
  <c r="O14" i="3" s="1"/>
  <c r="E14" i="3"/>
  <c r="D14" i="3"/>
  <c r="F14" i="3" s="1"/>
  <c r="C14" i="3"/>
  <c r="U13" i="3"/>
  <c r="R13" i="3"/>
  <c r="M13" i="3"/>
  <c r="O13" i="3" s="1"/>
  <c r="E13" i="3"/>
  <c r="D13" i="3"/>
  <c r="F13" i="3" s="1"/>
  <c r="C13" i="3"/>
  <c r="U12" i="3"/>
  <c r="R12" i="3"/>
  <c r="M12" i="3"/>
  <c r="O12" i="3" s="1"/>
  <c r="E12" i="3"/>
  <c r="D12" i="3"/>
  <c r="F12" i="3" s="1"/>
  <c r="C12" i="3"/>
  <c r="U11" i="3"/>
  <c r="R11" i="3"/>
  <c r="M11" i="3"/>
  <c r="O11" i="3" s="1"/>
  <c r="E11" i="3"/>
  <c r="D11" i="3"/>
  <c r="F11" i="3" s="1"/>
  <c r="C11" i="3"/>
  <c r="U10" i="3"/>
  <c r="R10" i="3"/>
  <c r="M10" i="3"/>
  <c r="O10" i="3" s="1"/>
  <c r="E10" i="3"/>
  <c r="D10" i="3"/>
  <c r="F10" i="3" s="1"/>
  <c r="C10" i="3"/>
  <c r="U9" i="3"/>
  <c r="R9" i="3"/>
  <c r="M9" i="3"/>
  <c r="O9" i="3" s="1"/>
  <c r="E9" i="3"/>
  <c r="D9" i="3"/>
  <c r="F9" i="3" s="1"/>
  <c r="C9" i="3"/>
  <c r="U8" i="3"/>
  <c r="R8" i="3"/>
  <c r="M8" i="3"/>
  <c r="O8" i="3" s="1"/>
  <c r="E8" i="3"/>
  <c r="D8" i="3"/>
  <c r="F8" i="3" s="1"/>
  <c r="C8" i="3"/>
  <c r="U7" i="3"/>
  <c r="R7" i="3"/>
  <c r="M7" i="3"/>
  <c r="O7" i="3" s="1"/>
  <c r="W34" i="3" s="1"/>
  <c r="E7" i="3"/>
  <c r="D7" i="3"/>
  <c r="F7" i="3" s="1"/>
  <c r="C7" i="3"/>
  <c r="W32" i="3" s="1"/>
  <c r="F5" i="3"/>
  <c r="E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E4" i="3"/>
  <c r="C4" i="3"/>
  <c r="N87" i="2"/>
  <c r="M87" i="2"/>
  <c r="K86" i="2"/>
  <c r="J86" i="2"/>
  <c r="I86" i="2"/>
  <c r="H86" i="2"/>
  <c r="G86" i="2"/>
  <c r="E86" i="2"/>
  <c r="K85" i="2"/>
  <c r="J85" i="2"/>
  <c r="I85" i="2"/>
  <c r="H85" i="2"/>
  <c r="G85" i="2"/>
  <c r="E85" i="2"/>
  <c r="L84" i="2"/>
  <c r="K84" i="2"/>
  <c r="J84" i="2"/>
  <c r="I84" i="2"/>
  <c r="H84" i="2"/>
  <c r="G84" i="2"/>
  <c r="E84" i="2"/>
  <c r="L83" i="2"/>
  <c r="L87" i="2" s="1"/>
  <c r="L88" i="2" s="1"/>
  <c r="K83" i="2"/>
  <c r="J83" i="2"/>
  <c r="I83" i="2"/>
  <c r="H83" i="2"/>
  <c r="G83" i="2"/>
  <c r="E83" i="2"/>
  <c r="K82" i="2"/>
  <c r="J82" i="2"/>
  <c r="I82" i="2"/>
  <c r="H82" i="2"/>
  <c r="G82" i="2"/>
  <c r="E82" i="2"/>
  <c r="K81" i="2"/>
  <c r="J81" i="2"/>
  <c r="I81" i="2"/>
  <c r="H81" i="2"/>
  <c r="G81" i="2"/>
  <c r="E81" i="2"/>
  <c r="K80" i="2"/>
  <c r="J80" i="2"/>
  <c r="I80" i="2"/>
  <c r="H80" i="2"/>
  <c r="G80" i="2"/>
  <c r="E80" i="2"/>
  <c r="K79" i="2"/>
  <c r="J79" i="2"/>
  <c r="I79" i="2"/>
  <c r="H79" i="2"/>
  <c r="G79" i="2"/>
  <c r="E79" i="2"/>
  <c r="K78" i="2"/>
  <c r="J78" i="2"/>
  <c r="I78" i="2"/>
  <c r="H78" i="2"/>
  <c r="G78" i="2"/>
  <c r="E78" i="2"/>
  <c r="K77" i="2"/>
  <c r="J77" i="2"/>
  <c r="I77" i="2"/>
  <c r="H77" i="2"/>
  <c r="G77" i="2"/>
  <c r="E77" i="2"/>
  <c r="K76" i="2"/>
  <c r="J76" i="2"/>
  <c r="I76" i="2"/>
  <c r="I87" i="2" s="1"/>
  <c r="H76" i="2"/>
  <c r="G76" i="2"/>
  <c r="E76" i="2"/>
  <c r="K75" i="2"/>
  <c r="K87" i="2" s="1"/>
  <c r="J75" i="2"/>
  <c r="J87" i="2" s="1"/>
  <c r="I75" i="2"/>
  <c r="H75" i="2"/>
  <c r="H87" i="2" s="1"/>
  <c r="G75" i="2"/>
  <c r="G87" i="2" s="1"/>
  <c r="E75" i="2"/>
  <c r="R71" i="2"/>
  <c r="Q68" i="2"/>
  <c r="O68" i="2"/>
  <c r="M68" i="2"/>
  <c r="L68" i="2"/>
  <c r="K68" i="2"/>
  <c r="J68" i="2"/>
  <c r="I68" i="2"/>
  <c r="H68" i="2"/>
  <c r="E68" i="2"/>
  <c r="O67" i="2"/>
  <c r="L67" i="2"/>
  <c r="K67" i="2"/>
  <c r="J67" i="2"/>
  <c r="I67" i="2"/>
  <c r="H67" i="2"/>
  <c r="E67" i="2"/>
  <c r="O66" i="2"/>
  <c r="L66" i="2"/>
  <c r="K66" i="2"/>
  <c r="J66" i="2"/>
  <c r="I66" i="2"/>
  <c r="H66" i="2"/>
  <c r="F66" i="2"/>
  <c r="E66" i="2"/>
  <c r="O65" i="2"/>
  <c r="N65" i="2"/>
  <c r="L65" i="2"/>
  <c r="K65" i="2"/>
  <c r="J65" i="2"/>
  <c r="I65" i="2"/>
  <c r="H65" i="2"/>
  <c r="E65" i="2"/>
  <c r="O64" i="2"/>
  <c r="M64" i="2"/>
  <c r="L64" i="2"/>
  <c r="K64" i="2"/>
  <c r="J64" i="2"/>
  <c r="I64" i="2"/>
  <c r="H64" i="2"/>
  <c r="G64" i="2"/>
  <c r="E64" i="2"/>
  <c r="O63" i="2"/>
  <c r="M63" i="2"/>
  <c r="L63" i="2"/>
  <c r="K63" i="2"/>
  <c r="J63" i="2"/>
  <c r="I63" i="2"/>
  <c r="H63" i="2"/>
  <c r="G63" i="2"/>
  <c r="F63" i="2"/>
  <c r="E63" i="2"/>
  <c r="O62" i="2"/>
  <c r="N62" i="2"/>
  <c r="M62" i="2"/>
  <c r="L62" i="2"/>
  <c r="K62" i="2"/>
  <c r="J62" i="2"/>
  <c r="I62" i="2"/>
  <c r="H62" i="2"/>
  <c r="F62" i="2"/>
  <c r="E62" i="2"/>
  <c r="O61" i="2"/>
  <c r="N61" i="2"/>
  <c r="M61" i="2"/>
  <c r="L61" i="2"/>
  <c r="K61" i="2"/>
  <c r="J61" i="2"/>
  <c r="I61" i="2"/>
  <c r="H61" i="2"/>
  <c r="G61" i="2"/>
  <c r="F61" i="2"/>
  <c r="E61" i="2"/>
  <c r="T60" i="2"/>
  <c r="O60" i="2"/>
  <c r="N60" i="2"/>
  <c r="L60" i="2"/>
  <c r="K60" i="2"/>
  <c r="J60" i="2"/>
  <c r="I60" i="2"/>
  <c r="H60" i="2"/>
  <c r="G60" i="2"/>
  <c r="E60" i="2"/>
  <c r="O59" i="2"/>
  <c r="N59" i="2"/>
  <c r="M59" i="2"/>
  <c r="L59" i="2"/>
  <c r="K59" i="2"/>
  <c r="J59" i="2"/>
  <c r="I59" i="2"/>
  <c r="H59" i="2"/>
  <c r="G59" i="2"/>
  <c r="F59" i="2"/>
  <c r="F69" i="2" s="1"/>
  <c r="E59" i="2"/>
  <c r="O58" i="2"/>
  <c r="N58" i="2"/>
  <c r="M58" i="2"/>
  <c r="L58" i="2"/>
  <c r="K58" i="2"/>
  <c r="J58" i="2"/>
  <c r="I58" i="2"/>
  <c r="H58" i="2"/>
  <c r="G58" i="2"/>
  <c r="E58" i="2"/>
  <c r="O57" i="2"/>
  <c r="O69" i="2" s="1"/>
  <c r="N57" i="2"/>
  <c r="N69" i="2" s="1"/>
  <c r="M57" i="2"/>
  <c r="L57" i="2"/>
  <c r="L69" i="2" s="1"/>
  <c r="K57" i="2"/>
  <c r="K69" i="2" s="1"/>
  <c r="J57" i="2"/>
  <c r="J69" i="2" s="1"/>
  <c r="I57" i="2"/>
  <c r="I69" i="2" s="1"/>
  <c r="H57" i="2"/>
  <c r="H69" i="2" s="1"/>
  <c r="G57" i="2"/>
  <c r="G69" i="2" s="1"/>
  <c r="E57" i="2"/>
  <c r="P52" i="2"/>
  <c r="F51" i="2"/>
  <c r="L50" i="2"/>
  <c r="K50" i="2"/>
  <c r="J50" i="2"/>
  <c r="I50" i="2"/>
  <c r="H50" i="2"/>
  <c r="G50" i="2"/>
  <c r="E50" i="2"/>
  <c r="L49" i="2"/>
  <c r="K49" i="2"/>
  <c r="J49" i="2"/>
  <c r="I49" i="2"/>
  <c r="H49" i="2"/>
  <c r="G49" i="2"/>
  <c r="E49" i="2"/>
  <c r="L48" i="2"/>
  <c r="K48" i="2"/>
  <c r="J48" i="2"/>
  <c r="I48" i="2"/>
  <c r="H48" i="2"/>
  <c r="G48" i="2"/>
  <c r="E48" i="2"/>
  <c r="L47" i="2"/>
  <c r="K47" i="2"/>
  <c r="J47" i="2"/>
  <c r="I47" i="2"/>
  <c r="H47" i="2"/>
  <c r="G47" i="2"/>
  <c r="E47" i="2"/>
  <c r="V46" i="2"/>
  <c r="L46" i="2"/>
  <c r="K46" i="2"/>
  <c r="J46" i="2"/>
  <c r="I46" i="2"/>
  <c r="H46" i="2"/>
  <c r="G46" i="2"/>
  <c r="E46" i="2"/>
  <c r="L45" i="2"/>
  <c r="K45" i="2"/>
  <c r="J45" i="2"/>
  <c r="I45" i="2"/>
  <c r="H45" i="2"/>
  <c r="G45" i="2"/>
  <c r="E45" i="2"/>
  <c r="L44" i="2"/>
  <c r="J44" i="2"/>
  <c r="I44" i="2"/>
  <c r="H44" i="2"/>
  <c r="G44" i="2"/>
  <c r="E44" i="2"/>
  <c r="L43" i="2"/>
  <c r="K43" i="2"/>
  <c r="J43" i="2"/>
  <c r="I43" i="2"/>
  <c r="H43" i="2"/>
  <c r="G43" i="2"/>
  <c r="E43" i="2"/>
  <c r="L42" i="2"/>
  <c r="K42" i="2"/>
  <c r="J42" i="2"/>
  <c r="I42" i="2"/>
  <c r="H42" i="2"/>
  <c r="G42" i="2"/>
  <c r="E42" i="2"/>
  <c r="L41" i="2"/>
  <c r="K41" i="2"/>
  <c r="J41" i="2"/>
  <c r="I41" i="2"/>
  <c r="H41" i="2"/>
  <c r="G41" i="2"/>
  <c r="E41" i="2"/>
  <c r="L40" i="2"/>
  <c r="K40" i="2"/>
  <c r="J40" i="2"/>
  <c r="I40" i="2"/>
  <c r="H40" i="2"/>
  <c r="G40" i="2"/>
  <c r="E40" i="2"/>
  <c r="L39" i="2"/>
  <c r="L51" i="2" s="1"/>
  <c r="K39" i="2"/>
  <c r="J39" i="2"/>
  <c r="J51" i="2" s="1"/>
  <c r="I39" i="2"/>
  <c r="I51" i="2" s="1"/>
  <c r="H39" i="2"/>
  <c r="H51" i="2" s="1"/>
  <c r="G39" i="2"/>
  <c r="G51" i="2" s="1"/>
  <c r="E39" i="2"/>
  <c r="K32" i="2"/>
  <c r="J32" i="2"/>
  <c r="I32" i="2"/>
  <c r="H32" i="2"/>
  <c r="G32" i="2"/>
  <c r="F32" i="2"/>
  <c r="E32" i="2"/>
  <c r="K31" i="2"/>
  <c r="J31" i="2"/>
  <c r="I31" i="2"/>
  <c r="H31" i="2"/>
  <c r="G31" i="2"/>
  <c r="F31" i="2"/>
  <c r="E31" i="2"/>
  <c r="K30" i="2"/>
  <c r="J30" i="2"/>
  <c r="I30" i="2"/>
  <c r="H30" i="2"/>
  <c r="G30" i="2"/>
  <c r="F30" i="2"/>
  <c r="E30" i="2"/>
  <c r="K29" i="2"/>
  <c r="J29" i="2"/>
  <c r="I29" i="2"/>
  <c r="H29" i="2"/>
  <c r="G29" i="2"/>
  <c r="F29" i="2"/>
  <c r="E29" i="2"/>
  <c r="K28" i="2"/>
  <c r="I28" i="2"/>
  <c r="H28" i="2"/>
  <c r="G28" i="2"/>
  <c r="F28" i="2"/>
  <c r="E28" i="2"/>
  <c r="K27" i="2"/>
  <c r="J27" i="2"/>
  <c r="I27" i="2"/>
  <c r="H27" i="2"/>
  <c r="G27" i="2"/>
  <c r="F27" i="2"/>
  <c r="E27" i="2"/>
  <c r="K26" i="2"/>
  <c r="I26" i="2"/>
  <c r="H26" i="2"/>
  <c r="G26" i="2"/>
  <c r="F26" i="2"/>
  <c r="E26" i="2"/>
  <c r="K25" i="2"/>
  <c r="I25" i="2"/>
  <c r="H25" i="2"/>
  <c r="G25" i="2"/>
  <c r="F25" i="2"/>
  <c r="E25" i="2"/>
  <c r="P24" i="2"/>
  <c r="K24" i="2"/>
  <c r="J24" i="2"/>
  <c r="I24" i="2"/>
  <c r="H24" i="2"/>
  <c r="G24" i="2"/>
  <c r="F24" i="2"/>
  <c r="E24" i="2"/>
  <c r="K23" i="2"/>
  <c r="J23" i="2"/>
  <c r="I23" i="2"/>
  <c r="H23" i="2"/>
  <c r="G23" i="2"/>
  <c r="F23" i="2"/>
  <c r="E23" i="2"/>
  <c r="K22" i="2"/>
  <c r="I22" i="2"/>
  <c r="H22" i="2"/>
  <c r="G22" i="2"/>
  <c r="F22" i="2"/>
  <c r="E22" i="2"/>
  <c r="K21" i="2"/>
  <c r="K33" i="2" s="1"/>
  <c r="I21" i="2"/>
  <c r="I33" i="2" s="1"/>
  <c r="H21" i="2"/>
  <c r="H33" i="2" s="1"/>
  <c r="G21" i="2"/>
  <c r="G33" i="2" s="1"/>
  <c r="F21" i="2"/>
  <c r="F33" i="2" s="1"/>
  <c r="E21" i="2"/>
  <c r="D15" i="2"/>
  <c r="D14" i="2"/>
  <c r="D13" i="2"/>
  <c r="D12" i="2"/>
  <c r="D11" i="2"/>
  <c r="D10" i="2"/>
  <c r="D9" i="2"/>
  <c r="D17" i="2" s="1"/>
  <c r="M33" i="2" s="1"/>
  <c r="P1" i="2"/>
  <c r="S37" i="1"/>
  <c r="S38" i="1" s="1"/>
  <c r="H37" i="1"/>
  <c r="L36" i="1"/>
  <c r="M36" i="1" s="1"/>
  <c r="S31" i="1"/>
  <c r="S30" i="1"/>
  <c r="S29" i="1"/>
  <c r="O14" i="1"/>
  <c r="N14" i="1"/>
  <c r="M14" i="1"/>
  <c r="L14" i="1"/>
  <c r="K14" i="1"/>
  <c r="H32" i="1" s="1"/>
  <c r="J14" i="1"/>
  <c r="D32" i="1" s="1"/>
  <c r="I14" i="1"/>
  <c r="Q14" i="1" s="1"/>
  <c r="H14" i="1"/>
  <c r="G14" i="1"/>
  <c r="F14" i="1"/>
  <c r="E14" i="1"/>
  <c r="O13" i="1"/>
  <c r="N13" i="1"/>
  <c r="L13" i="1"/>
  <c r="K13" i="1"/>
  <c r="J13" i="1"/>
  <c r="D31" i="1" s="1"/>
  <c r="I13" i="1"/>
  <c r="H13" i="1"/>
  <c r="G13" i="1"/>
  <c r="F13" i="1"/>
  <c r="E13" i="1"/>
  <c r="O12" i="1"/>
  <c r="N12" i="1"/>
  <c r="L12" i="1"/>
  <c r="K12" i="1"/>
  <c r="J12" i="1"/>
  <c r="D30" i="1" s="1"/>
  <c r="I12" i="1"/>
  <c r="H12" i="1"/>
  <c r="G12" i="1"/>
  <c r="F12" i="1"/>
  <c r="E12" i="1"/>
  <c r="O11" i="1"/>
  <c r="N11" i="1"/>
  <c r="L11" i="1"/>
  <c r="K11" i="1"/>
  <c r="J11" i="1"/>
  <c r="D29" i="1" s="1"/>
  <c r="I11" i="1"/>
  <c r="H11" i="1"/>
  <c r="G11" i="1"/>
  <c r="F11" i="1"/>
  <c r="E11" i="1"/>
  <c r="O10" i="1"/>
  <c r="N10" i="1"/>
  <c r="L10" i="1"/>
  <c r="K10" i="1"/>
  <c r="J10" i="1"/>
  <c r="D28" i="1" s="1"/>
  <c r="I10" i="1"/>
  <c r="H10" i="1"/>
  <c r="G10" i="1"/>
  <c r="F10" i="1"/>
  <c r="E10" i="1"/>
  <c r="O9" i="1"/>
  <c r="N9" i="1"/>
  <c r="M9" i="1"/>
  <c r="W23" i="11" s="1"/>
  <c r="L9" i="1"/>
  <c r="K9" i="1"/>
  <c r="J9" i="1"/>
  <c r="D27" i="1" s="1"/>
  <c r="I9" i="1"/>
  <c r="Q9" i="1" s="1"/>
  <c r="H9" i="1"/>
  <c r="G9" i="1"/>
  <c r="F9" i="1"/>
  <c r="E9" i="1"/>
  <c r="O8" i="1"/>
  <c r="N8" i="1"/>
  <c r="L8" i="1"/>
  <c r="K8" i="1"/>
  <c r="J8" i="1"/>
  <c r="D26" i="1" s="1"/>
  <c r="I8" i="1"/>
  <c r="H8" i="1"/>
  <c r="G8" i="1"/>
  <c r="F8" i="1"/>
  <c r="E8" i="1"/>
  <c r="O7" i="1"/>
  <c r="N7" i="1"/>
  <c r="L7" i="1"/>
  <c r="K7" i="1"/>
  <c r="J7" i="1"/>
  <c r="D25" i="1" s="1"/>
  <c r="I7" i="1"/>
  <c r="H7" i="1"/>
  <c r="G7" i="1"/>
  <c r="F7" i="1"/>
  <c r="E7" i="1"/>
  <c r="O6" i="1"/>
  <c r="N6" i="1"/>
  <c r="L6" i="1"/>
  <c r="K6" i="1"/>
  <c r="J6" i="1"/>
  <c r="D24" i="1" s="1"/>
  <c r="I6" i="1"/>
  <c r="H6" i="1"/>
  <c r="G6" i="1"/>
  <c r="F6" i="1"/>
  <c r="E6" i="1"/>
  <c r="O5" i="1"/>
  <c r="N5" i="1"/>
  <c r="M5" i="1"/>
  <c r="K23" i="11" s="1"/>
  <c r="L5" i="1"/>
  <c r="K5" i="1"/>
  <c r="J5" i="1"/>
  <c r="D23" i="1" s="1"/>
  <c r="I5" i="1"/>
  <c r="Q5" i="1" s="1"/>
  <c r="H5" i="1"/>
  <c r="G5" i="1"/>
  <c r="F5" i="1"/>
  <c r="E5" i="1"/>
  <c r="O4" i="1"/>
  <c r="N4" i="1"/>
  <c r="L4" i="1"/>
  <c r="K4" i="1"/>
  <c r="J4" i="1"/>
  <c r="D22" i="1" s="1"/>
  <c r="I4" i="1"/>
  <c r="H4" i="1"/>
  <c r="G4" i="1"/>
  <c r="F4" i="1"/>
  <c r="E4" i="1"/>
  <c r="O3" i="1"/>
  <c r="O15" i="1" s="1"/>
  <c r="N3" i="1"/>
  <c r="N15" i="1" s="1"/>
  <c r="L3" i="1"/>
  <c r="L15" i="1" s="1"/>
  <c r="K3" i="1"/>
  <c r="J3" i="1"/>
  <c r="I3" i="1"/>
  <c r="H3" i="1"/>
  <c r="H15" i="1" s="1"/>
  <c r="G3" i="1"/>
  <c r="G15" i="1" s="1"/>
  <c r="F3" i="1"/>
  <c r="F15" i="1" s="1"/>
  <c r="E3" i="1"/>
  <c r="B21" i="1" l="1"/>
  <c r="E15" i="1"/>
  <c r="P3" i="1"/>
  <c r="I15" i="1"/>
  <c r="D21" i="1"/>
  <c r="D33" i="1" s="1"/>
  <c r="J15" i="1"/>
  <c r="E22" i="11"/>
  <c r="K15" i="1"/>
  <c r="B22" i="1"/>
  <c r="P4" i="1"/>
  <c r="B23" i="1"/>
  <c r="P5" i="1"/>
  <c r="K22" i="11"/>
  <c r="H23" i="1"/>
  <c r="B24" i="1"/>
  <c r="P6" i="1"/>
  <c r="N22" i="11"/>
  <c r="B25" i="1"/>
  <c r="P7" i="1"/>
  <c r="Q22" i="11"/>
  <c r="B26" i="1"/>
  <c r="P8" i="1"/>
  <c r="T22" i="11"/>
  <c r="B27" i="1"/>
  <c r="P9" i="1"/>
  <c r="W22" i="11"/>
  <c r="H27" i="1"/>
  <c r="B28" i="1"/>
  <c r="P10" i="1"/>
  <c r="Z22" i="11"/>
  <c r="B29" i="1"/>
  <c r="P11" i="1"/>
  <c r="AC22" i="11"/>
  <c r="B30" i="1"/>
  <c r="P12" i="1"/>
  <c r="AF22" i="11"/>
  <c r="B31" i="1"/>
  <c r="P13" i="1"/>
  <c r="AI22" i="11"/>
  <c r="B32" i="1"/>
  <c r="P14" i="1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Q1" i="2"/>
  <c r="E33" i="2"/>
  <c r="E34" i="2" s="1"/>
  <c r="C2" i="2" s="1"/>
  <c r="E51" i="2"/>
  <c r="E52" i="2" s="1"/>
  <c r="C3" i="2" s="1"/>
  <c r="M39" i="2"/>
  <c r="D40" i="2" s="1"/>
  <c r="M40" i="2" s="1"/>
  <c r="D41" i="2" s="1"/>
  <c r="M41" i="2" s="1"/>
  <c r="D42" i="2" s="1"/>
  <c r="M42" i="2" s="1"/>
  <c r="D43" i="2" s="1"/>
  <c r="M43" i="2" s="1"/>
  <c r="E69" i="2"/>
  <c r="E70" i="2" s="1"/>
  <c r="C4" i="2" s="1"/>
  <c r="P57" i="2"/>
  <c r="E87" i="2"/>
  <c r="E88" i="2" s="1"/>
  <c r="O75" i="2"/>
  <c r="D76" i="2" s="1"/>
  <c r="O76" i="2" s="1"/>
  <c r="D77" i="2" s="1"/>
  <c r="O77" i="2" s="1"/>
  <c r="D78" i="2" s="1"/>
  <c r="O78" i="2" s="1"/>
  <c r="D79" i="2" s="1"/>
  <c r="O79" i="2" s="1"/>
  <c r="C5" i="3"/>
  <c r="F4" i="3"/>
  <c r="W36" i="3"/>
  <c r="W35" i="3"/>
  <c r="W67" i="3"/>
  <c r="W66" i="3"/>
  <c r="W97" i="3"/>
  <c r="W96" i="3"/>
  <c r="W128" i="3"/>
  <c r="W127" i="3"/>
  <c r="W159" i="3"/>
  <c r="W158" i="3"/>
  <c r="W189" i="3"/>
  <c r="W188" i="3"/>
  <c r="W220" i="3"/>
  <c r="W219" i="3"/>
  <c r="W250" i="3"/>
  <c r="W249" i="3"/>
  <c r="W281" i="3"/>
  <c r="W280" i="3"/>
  <c r="W312" i="3"/>
  <c r="W311" i="3"/>
  <c r="W340" i="3"/>
  <c r="W339" i="3"/>
  <c r="W372" i="3"/>
  <c r="W371" i="3"/>
  <c r="F4" i="11"/>
  <c r="I4" i="11"/>
  <c r="H23" i="11"/>
  <c r="H25" i="11" s="1"/>
  <c r="K4" i="11"/>
  <c r="O4" i="11"/>
  <c r="R4" i="11"/>
  <c r="U4" i="11"/>
  <c r="W25" i="11"/>
  <c r="X4" i="11"/>
  <c r="AA4" i="11"/>
  <c r="AD4" i="11"/>
  <c r="AG4" i="11"/>
  <c r="AJ4" i="11"/>
  <c r="AL25" i="11"/>
  <c r="AM4" i="11"/>
  <c r="I8" i="10"/>
  <c r="J8" i="10"/>
  <c r="J21" i="2" s="1"/>
  <c r="N5" i="10"/>
  <c r="I15" i="10"/>
  <c r="J15" i="10"/>
  <c r="J22" i="2" s="1"/>
  <c r="M4" i="1" s="1"/>
  <c r="N12" i="10"/>
  <c r="F19" i="10"/>
  <c r="E19" i="10"/>
  <c r="F20" i="10"/>
  <c r="E20" i="10"/>
  <c r="F21" i="10"/>
  <c r="E21" i="10"/>
  <c r="F26" i="10"/>
  <c r="E26" i="10"/>
  <c r="I26" i="10" s="1"/>
  <c r="L29" i="10"/>
  <c r="M60" i="2" s="1"/>
  <c r="N26" i="10"/>
  <c r="N29" i="10" s="1"/>
  <c r="F27" i="10"/>
  <c r="E27" i="10"/>
  <c r="I27" i="10" s="1"/>
  <c r="O27" i="10" s="1"/>
  <c r="F28" i="10"/>
  <c r="E28" i="10"/>
  <c r="I28" i="10" s="1"/>
  <c r="O28" i="10" s="1"/>
  <c r="F33" i="10"/>
  <c r="E33" i="10"/>
  <c r="I33" i="10" s="1"/>
  <c r="F34" i="10"/>
  <c r="E34" i="10"/>
  <c r="I34" i="10" s="1"/>
  <c r="J36" i="10"/>
  <c r="J25" i="2" s="1"/>
  <c r="M7" i="1" s="1"/>
  <c r="N34" i="10"/>
  <c r="N36" i="10" s="1"/>
  <c r="F35" i="10"/>
  <c r="E35" i="10"/>
  <c r="I35" i="10" s="1"/>
  <c r="O35" i="10" s="1"/>
  <c r="F40" i="10"/>
  <c r="E40" i="10"/>
  <c r="I40" i="10" s="1"/>
  <c r="K43" i="10"/>
  <c r="K44" i="2" s="1"/>
  <c r="K51" i="2" s="1"/>
  <c r="H52" i="2" s="1"/>
  <c r="F3" i="2" s="1"/>
  <c r="N40" i="10"/>
  <c r="F41" i="10"/>
  <c r="E41" i="10"/>
  <c r="I41" i="10" s="1"/>
  <c r="J43" i="10"/>
  <c r="J26" i="2" s="1"/>
  <c r="M8" i="1" s="1"/>
  <c r="N41" i="10"/>
  <c r="F42" i="10"/>
  <c r="E42" i="10"/>
  <c r="I42" i="10" s="1"/>
  <c r="O42" i="10" s="1"/>
  <c r="F47" i="10"/>
  <c r="E47" i="10"/>
  <c r="I47" i="10" s="1"/>
  <c r="F48" i="10"/>
  <c r="E48" i="10"/>
  <c r="I48" i="10" s="1"/>
  <c r="O48" i="10" s="1"/>
  <c r="F49" i="10"/>
  <c r="E49" i="10"/>
  <c r="I49" i="10" s="1"/>
  <c r="O49" i="10" s="1"/>
  <c r="F54" i="10"/>
  <c r="E54" i="10"/>
  <c r="I54" i="10" s="1"/>
  <c r="J57" i="10"/>
  <c r="J28" i="2" s="1"/>
  <c r="M10" i="1" s="1"/>
  <c r="N54" i="10"/>
  <c r="N57" i="10" s="1"/>
  <c r="F55" i="10"/>
  <c r="E55" i="10"/>
  <c r="I55" i="10" s="1"/>
  <c r="O55" i="10" s="1"/>
  <c r="F56" i="10"/>
  <c r="E56" i="10"/>
  <c r="I56" i="10" s="1"/>
  <c r="O56" i="10" s="1"/>
  <c r="F61" i="10"/>
  <c r="E61" i="10"/>
  <c r="F62" i="10"/>
  <c r="E62" i="10"/>
  <c r="L64" i="10"/>
  <c r="M65" i="2" s="1"/>
  <c r="M11" i="1" s="1"/>
  <c r="N62" i="10"/>
  <c r="N64" i="10" s="1"/>
  <c r="F63" i="10"/>
  <c r="E63" i="10"/>
  <c r="F68" i="10"/>
  <c r="E68" i="10"/>
  <c r="I68" i="10" s="1"/>
  <c r="L71" i="10"/>
  <c r="M66" i="2" s="1"/>
  <c r="M12" i="1" s="1"/>
  <c r="N68" i="10"/>
  <c r="N71" i="10" s="1"/>
  <c r="F69" i="10"/>
  <c r="E69" i="10"/>
  <c r="I69" i="10" s="1"/>
  <c r="O69" i="10" s="1"/>
  <c r="F70" i="10"/>
  <c r="E70" i="10"/>
  <c r="I70" i="10" s="1"/>
  <c r="O70" i="10" s="1"/>
  <c r="I79" i="10"/>
  <c r="L79" i="10"/>
  <c r="M67" i="2" s="1"/>
  <c r="M13" i="1" s="1"/>
  <c r="N75" i="10"/>
  <c r="F83" i="10"/>
  <c r="E83" i="10"/>
  <c r="I83" i="10" s="1"/>
  <c r="F84" i="10"/>
  <c r="E84" i="10"/>
  <c r="I84" i="10" s="1"/>
  <c r="O84" i="10" s="1"/>
  <c r="F85" i="10"/>
  <c r="E85" i="10"/>
  <c r="I85" i="10" s="1"/>
  <c r="O85" i="10" s="1"/>
  <c r="G5" i="11"/>
  <c r="F5" i="11"/>
  <c r="G6" i="11"/>
  <c r="F6" i="11"/>
  <c r="G7" i="11"/>
  <c r="F7" i="11"/>
  <c r="AH7" i="11"/>
  <c r="AG7" i="11"/>
  <c r="G8" i="11"/>
  <c r="F8" i="11"/>
  <c r="G9" i="11"/>
  <c r="F9" i="11"/>
  <c r="G10" i="11"/>
  <c r="F10" i="11"/>
  <c r="G11" i="11"/>
  <c r="F11" i="11"/>
  <c r="G12" i="11"/>
  <c r="F12" i="11"/>
  <c r="G13" i="11"/>
  <c r="F13" i="11"/>
  <c r="G14" i="11"/>
  <c r="F14" i="11"/>
  <c r="G15" i="11"/>
  <c r="F15" i="11"/>
  <c r="G17" i="11"/>
  <c r="F17" i="11"/>
  <c r="G18" i="11"/>
  <c r="F18" i="11"/>
  <c r="G19" i="11"/>
  <c r="F19" i="11"/>
  <c r="G20" i="11"/>
  <c r="F20" i="11"/>
  <c r="G21" i="11"/>
  <c r="F21" i="11"/>
  <c r="G22" i="11"/>
  <c r="F22" i="11"/>
  <c r="C28" i="11"/>
  <c r="C26" i="11"/>
  <c r="C27" i="11" s="1"/>
  <c r="J37" i="11"/>
  <c r="J40" i="11" s="1"/>
  <c r="D23" i="11" s="1"/>
  <c r="J34" i="11"/>
  <c r="K37" i="11"/>
  <c r="L37" i="11"/>
  <c r="L40" i="11" s="1"/>
  <c r="J23" i="11" s="1"/>
  <c r="L23" i="11" s="1"/>
  <c r="L34" i="11"/>
  <c r="M37" i="11"/>
  <c r="M40" i="11" s="1"/>
  <c r="M23" i="11" s="1"/>
  <c r="M34" i="11"/>
  <c r="N37" i="11"/>
  <c r="N40" i="11" s="1"/>
  <c r="P23" i="11" s="1"/>
  <c r="N34" i="11"/>
  <c r="O37" i="11"/>
  <c r="O40" i="11" s="1"/>
  <c r="S23" i="11" s="1"/>
  <c r="O34" i="11"/>
  <c r="P37" i="11"/>
  <c r="P40" i="11" s="1"/>
  <c r="V23" i="11" s="1"/>
  <c r="X23" i="11" s="1"/>
  <c r="P34" i="11"/>
  <c r="Q37" i="11"/>
  <c r="Q40" i="11" s="1"/>
  <c r="Y23" i="11" s="1"/>
  <c r="Q34" i="11"/>
  <c r="R37" i="11"/>
  <c r="R40" i="11" s="1"/>
  <c r="R34" i="11"/>
  <c r="S37" i="11"/>
  <c r="S40" i="11" s="1"/>
  <c r="AH23" i="11" s="1"/>
  <c r="S34" i="11"/>
  <c r="T37" i="11"/>
  <c r="T40" i="11" s="1"/>
  <c r="AK23" i="11" s="1"/>
  <c r="AM23" i="11" s="1"/>
  <c r="T34" i="11"/>
  <c r="U37" i="11"/>
  <c r="U40" i="11" s="1"/>
  <c r="U34" i="11"/>
  <c r="K34" i="11" s="1"/>
  <c r="H12" i="12"/>
  <c r="J12" i="12" s="1"/>
  <c r="I25" i="12"/>
  <c r="J25" i="12" s="1"/>
  <c r="E25" i="13"/>
  <c r="E24" i="13"/>
  <c r="E23" i="13"/>
  <c r="G35" i="13"/>
  <c r="G32" i="13"/>
  <c r="G31" i="13"/>
  <c r="G30" i="13"/>
  <c r="G29" i="13"/>
  <c r="G28" i="13"/>
  <c r="G25" i="13"/>
  <c r="G24" i="13"/>
  <c r="G23" i="13"/>
  <c r="G22" i="13"/>
  <c r="G21" i="13"/>
  <c r="F19" i="13"/>
  <c r="G17" i="13"/>
  <c r="G14" i="13"/>
  <c r="I35" i="13"/>
  <c r="I32" i="13"/>
  <c r="I31" i="13"/>
  <c r="I30" i="13"/>
  <c r="I29" i="13"/>
  <c r="I28" i="13"/>
  <c r="I25" i="13"/>
  <c r="I24" i="13"/>
  <c r="I23" i="13"/>
  <c r="I22" i="13"/>
  <c r="I21" i="13"/>
  <c r="H19" i="13"/>
  <c r="I17" i="13"/>
  <c r="I14" i="13"/>
  <c r="E14" i="13"/>
  <c r="Q37" i="13"/>
  <c r="R20" i="13"/>
  <c r="V37" i="13"/>
  <c r="W20" i="13"/>
  <c r="E21" i="13"/>
  <c r="E22" i="13"/>
  <c r="R28" i="13"/>
  <c r="W28" i="13"/>
  <c r="E30" i="13"/>
  <c r="E31" i="13"/>
  <c r="E32" i="13"/>
  <c r="W36" i="13"/>
  <c r="W35" i="13" l="1"/>
  <c r="W34" i="13"/>
  <c r="W33" i="13"/>
  <c r="W32" i="13"/>
  <c r="W31" i="13"/>
  <c r="W26" i="13"/>
  <c r="W25" i="13"/>
  <c r="W24" i="13"/>
  <c r="W23" i="13"/>
  <c r="W14" i="13"/>
  <c r="W13" i="13"/>
  <c r="W12" i="13"/>
  <c r="W11" i="13"/>
  <c r="W10" i="13"/>
  <c r="W9" i="13"/>
  <c r="W8" i="13"/>
  <c r="R27" i="13"/>
  <c r="R26" i="13"/>
  <c r="R25" i="13"/>
  <c r="R24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H27" i="13"/>
  <c r="I19" i="13"/>
  <c r="F27" i="13"/>
  <c r="G19" i="13"/>
  <c r="J28" i="12"/>
  <c r="AE23" i="11"/>
  <c r="AB23" i="11"/>
  <c r="K40" i="11"/>
  <c r="G23" i="11" s="1"/>
  <c r="I23" i="11" s="1"/>
  <c r="P22" i="2"/>
  <c r="D25" i="11"/>
  <c r="J22" i="11"/>
  <c r="I22" i="11"/>
  <c r="J21" i="11"/>
  <c r="I21" i="11"/>
  <c r="D43" i="7"/>
  <c r="J43" i="7" s="1"/>
  <c r="J20" i="11"/>
  <c r="I20" i="11"/>
  <c r="D42" i="7"/>
  <c r="J42" i="7" s="1"/>
  <c r="J19" i="11"/>
  <c r="I19" i="11"/>
  <c r="D41" i="7"/>
  <c r="J41" i="7" s="1"/>
  <c r="J18" i="11"/>
  <c r="I18" i="11"/>
  <c r="D40" i="7"/>
  <c r="J40" i="7" s="1"/>
  <c r="J17" i="11"/>
  <c r="I17" i="11"/>
  <c r="D39" i="7"/>
  <c r="J39" i="7" s="1"/>
  <c r="J15" i="11"/>
  <c r="I15" i="11"/>
  <c r="D37" i="7"/>
  <c r="J37" i="7" s="1"/>
  <c r="J14" i="11"/>
  <c r="I14" i="11"/>
  <c r="D36" i="7"/>
  <c r="J36" i="7" s="1"/>
  <c r="J13" i="11"/>
  <c r="I13" i="11"/>
  <c r="D35" i="7"/>
  <c r="J35" i="7" s="1"/>
  <c r="J12" i="11"/>
  <c r="I12" i="11"/>
  <c r="D34" i="7"/>
  <c r="J34" i="7" s="1"/>
  <c r="J11" i="11"/>
  <c r="I11" i="11"/>
  <c r="D33" i="7"/>
  <c r="J33" i="7" s="1"/>
  <c r="J10" i="11"/>
  <c r="I10" i="11"/>
  <c r="D32" i="7"/>
  <c r="J32" i="7" s="1"/>
  <c r="J9" i="11"/>
  <c r="I9" i="11"/>
  <c r="D31" i="7"/>
  <c r="J31" i="7" s="1"/>
  <c r="J8" i="11"/>
  <c r="I8" i="11"/>
  <c r="D30" i="7"/>
  <c r="J30" i="7" s="1"/>
  <c r="AK7" i="11"/>
  <c r="AJ7" i="11"/>
  <c r="D203" i="7"/>
  <c r="J203" i="7" s="1"/>
  <c r="J7" i="11"/>
  <c r="I7" i="11"/>
  <c r="D29" i="7"/>
  <c r="J29" i="7" s="1"/>
  <c r="J6" i="11"/>
  <c r="I6" i="11"/>
  <c r="D28" i="7"/>
  <c r="J28" i="7" s="1"/>
  <c r="G25" i="11"/>
  <c r="J5" i="11"/>
  <c r="I5" i="11"/>
  <c r="D27" i="7"/>
  <c r="I86" i="10"/>
  <c r="O86" i="10" s="1"/>
  <c r="O83" i="10"/>
  <c r="N79" i="10"/>
  <c r="O75" i="10"/>
  <c r="AI23" i="11"/>
  <c r="Q13" i="1"/>
  <c r="H31" i="1"/>
  <c r="D36" i="1" s="1"/>
  <c r="D37" i="1" s="1"/>
  <c r="O79" i="10"/>
  <c r="AF23" i="11"/>
  <c r="AF25" i="11" s="1"/>
  <c r="Q12" i="1"/>
  <c r="H30" i="1"/>
  <c r="I71" i="10"/>
  <c r="O71" i="10" s="1"/>
  <c r="O68" i="10"/>
  <c r="G63" i="10"/>
  <c r="I63" i="10" s="1"/>
  <c r="O63" i="10" s="1"/>
  <c r="AC23" i="11"/>
  <c r="AC25" i="11" s="1"/>
  <c r="Q11" i="1"/>
  <c r="H29" i="1"/>
  <c r="G62" i="10"/>
  <c r="I62" i="10" s="1"/>
  <c r="O62" i="10" s="1"/>
  <c r="G61" i="10"/>
  <c r="I61" i="10" s="1"/>
  <c r="Z23" i="11"/>
  <c r="Q10" i="1"/>
  <c r="H28" i="1"/>
  <c r="I57" i="10"/>
  <c r="O57" i="10" s="1"/>
  <c r="O54" i="10"/>
  <c r="I50" i="10"/>
  <c r="O50" i="10" s="1"/>
  <c r="O47" i="10"/>
  <c r="T23" i="11"/>
  <c r="Q8" i="1"/>
  <c r="H26" i="1"/>
  <c r="O41" i="10"/>
  <c r="N43" i="10"/>
  <c r="I43" i="10"/>
  <c r="O43" i="10" s="1"/>
  <c r="O40" i="10"/>
  <c r="Q23" i="11"/>
  <c r="Q7" i="1"/>
  <c r="H25" i="1"/>
  <c r="O34" i="10"/>
  <c r="I36" i="10"/>
  <c r="O36" i="10" s="1"/>
  <c r="O33" i="10"/>
  <c r="M6" i="1"/>
  <c r="M69" i="2"/>
  <c r="I70" i="2" s="1"/>
  <c r="F4" i="2" s="1"/>
  <c r="I29" i="10"/>
  <c r="O29" i="10" s="1"/>
  <c r="O26" i="10"/>
  <c r="G21" i="10"/>
  <c r="G20" i="10"/>
  <c r="G19" i="10"/>
  <c r="N15" i="10"/>
  <c r="O12" i="10"/>
  <c r="Q4" i="1"/>
  <c r="H22" i="1"/>
  <c r="O15" i="10"/>
  <c r="N8" i="10"/>
  <c r="O5" i="10"/>
  <c r="J33" i="2"/>
  <c r="H34" i="2" s="1"/>
  <c r="F2" i="2" s="1"/>
  <c r="F5" i="2" s="1"/>
  <c r="M3" i="1"/>
  <c r="L21" i="2"/>
  <c r="D22" i="2" s="1"/>
  <c r="L22" i="2" s="1"/>
  <c r="D23" i="2" s="1"/>
  <c r="L23" i="2" s="1"/>
  <c r="D24" i="2" s="1"/>
  <c r="L24" i="2" s="1"/>
  <c r="D25" i="2" s="1"/>
  <c r="L25" i="2" s="1"/>
  <c r="O8" i="10"/>
  <c r="AL28" i="11"/>
  <c r="AL26" i="11"/>
  <c r="AL27" i="11" s="1"/>
  <c r="W28" i="11"/>
  <c r="W26" i="11"/>
  <c r="W27" i="11" s="1"/>
  <c r="K25" i="11"/>
  <c r="L4" i="11"/>
  <c r="H28" i="11"/>
  <c r="H26" i="11"/>
  <c r="H27" i="11" s="1"/>
  <c r="I25" i="11"/>
  <c r="J3" i="4"/>
  <c r="I3" i="4"/>
  <c r="T10" i="13"/>
  <c r="D80" i="2"/>
  <c r="O80" i="2" s="1"/>
  <c r="D81" i="2" s="1"/>
  <c r="O81" i="2" s="1"/>
  <c r="D82" i="2" s="1"/>
  <c r="O82" i="2" s="1"/>
  <c r="D83" i="2" s="1"/>
  <c r="O83" i="2" s="1"/>
  <c r="D84" i="2" s="1"/>
  <c r="O84" i="2" s="1"/>
  <c r="D85" i="2" s="1"/>
  <c r="O85" i="2" s="1"/>
  <c r="D86" i="2" s="1"/>
  <c r="O86" i="2" s="1"/>
  <c r="O87" i="2" s="1"/>
  <c r="D58" i="2"/>
  <c r="P58" i="2" s="1"/>
  <c r="R57" i="2"/>
  <c r="O9" i="13"/>
  <c r="D44" i="2"/>
  <c r="M44" i="2" s="1"/>
  <c r="D45" i="2" s="1"/>
  <c r="M45" i="2" s="1"/>
  <c r="D46" i="2" s="1"/>
  <c r="M46" i="2" s="1"/>
  <c r="D47" i="2" s="1"/>
  <c r="M47" i="2" s="1"/>
  <c r="D48" i="2" s="1"/>
  <c r="M48" i="2" s="1"/>
  <c r="D49" i="2" s="1"/>
  <c r="M49" i="2" s="1"/>
  <c r="D50" i="2" s="1"/>
  <c r="M50" i="2" s="1"/>
  <c r="M51" i="2" s="1"/>
  <c r="C5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P23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32" i="1"/>
  <c r="Q32" i="1"/>
  <c r="P32" i="1"/>
  <c r="O32" i="1"/>
  <c r="L32" i="1"/>
  <c r="K32" i="1"/>
  <c r="N32" i="1" s="1"/>
  <c r="R31" i="1"/>
  <c r="Q31" i="1"/>
  <c r="P31" i="1"/>
  <c r="O31" i="1"/>
  <c r="O35" i="1" s="1"/>
  <c r="L31" i="1"/>
  <c r="K31" i="1"/>
  <c r="R30" i="1"/>
  <c r="Q30" i="1"/>
  <c r="P30" i="1"/>
  <c r="O30" i="1"/>
  <c r="L30" i="1"/>
  <c r="K30" i="1"/>
  <c r="N30" i="1" s="1"/>
  <c r="R29" i="1"/>
  <c r="Q29" i="1"/>
  <c r="P29" i="1"/>
  <c r="O29" i="1"/>
  <c r="L29" i="1"/>
  <c r="K29" i="1"/>
  <c r="N29" i="1" s="1"/>
  <c r="R28" i="1"/>
  <c r="Q28" i="1"/>
  <c r="P28" i="1"/>
  <c r="O28" i="1"/>
  <c r="L28" i="1"/>
  <c r="K28" i="1"/>
  <c r="N28" i="1" s="1"/>
  <c r="R27" i="1"/>
  <c r="Q27" i="1"/>
  <c r="P27" i="1"/>
  <c r="O27" i="1"/>
  <c r="L27" i="1"/>
  <c r="K27" i="1"/>
  <c r="N27" i="1" s="1"/>
  <c r="R26" i="1"/>
  <c r="Q26" i="1"/>
  <c r="P26" i="1"/>
  <c r="O26" i="1"/>
  <c r="L26" i="1"/>
  <c r="K26" i="1"/>
  <c r="N26" i="1" s="1"/>
  <c r="R25" i="1"/>
  <c r="Q25" i="1"/>
  <c r="P25" i="1"/>
  <c r="O25" i="1"/>
  <c r="L25" i="1"/>
  <c r="K25" i="1"/>
  <c r="N25" i="1" s="1"/>
  <c r="R24" i="1"/>
  <c r="Q24" i="1"/>
  <c r="P24" i="1"/>
  <c r="O24" i="1"/>
  <c r="K24" i="1"/>
  <c r="R23" i="1"/>
  <c r="Q23" i="1"/>
  <c r="P23" i="1"/>
  <c r="O23" i="1"/>
  <c r="L23" i="1"/>
  <c r="K23" i="1"/>
  <c r="N23" i="1" s="1"/>
  <c r="R22" i="1"/>
  <c r="Q22" i="1"/>
  <c r="P22" i="1"/>
  <c r="O22" i="1"/>
  <c r="L22" i="1"/>
  <c r="K22" i="1"/>
  <c r="N22" i="1" s="1"/>
  <c r="P15" i="1"/>
  <c r="B33" i="1"/>
  <c r="R21" i="1"/>
  <c r="R33" i="1" s="1"/>
  <c r="Q21" i="1"/>
  <c r="Q33" i="1" s="1"/>
  <c r="P21" i="1"/>
  <c r="P33" i="1" s="1"/>
  <c r="O21" i="1"/>
  <c r="O33" i="1" s="1"/>
  <c r="K21" i="1"/>
  <c r="K33" i="1" l="1"/>
  <c r="M22" i="1"/>
  <c r="M23" i="1"/>
  <c r="M25" i="1"/>
  <c r="M26" i="1"/>
  <c r="M27" i="1"/>
  <c r="M28" i="1"/>
  <c r="M29" i="1"/>
  <c r="M30" i="1"/>
  <c r="K35" i="1"/>
  <c r="F35" i="1"/>
  <c r="N31" i="1"/>
  <c r="M31" i="1"/>
  <c r="M32" i="1"/>
  <c r="P27" i="2"/>
  <c r="P25" i="2"/>
  <c r="H11" i="2"/>
  <c r="H8" i="2"/>
  <c r="O52" i="2"/>
  <c r="I3" i="2"/>
  <c r="D59" i="2"/>
  <c r="P59" i="2" s="1"/>
  <c r="R58" i="2"/>
  <c r="S58" i="2" s="1"/>
  <c r="T20" i="13"/>
  <c r="K28" i="11"/>
  <c r="K26" i="11"/>
  <c r="K27" i="11" s="1"/>
  <c r="O8" i="13"/>
  <c r="D26" i="2"/>
  <c r="L26" i="2" s="1"/>
  <c r="D27" i="2" s="1"/>
  <c r="L27" i="2" s="1"/>
  <c r="D28" i="2" s="1"/>
  <c r="L28" i="2" s="1"/>
  <c r="D29" i="2" s="1"/>
  <c r="L29" i="2" s="1"/>
  <c r="D30" i="2" s="1"/>
  <c r="L30" i="2" s="1"/>
  <c r="D31" i="2" s="1"/>
  <c r="L31" i="2" s="1"/>
  <c r="D32" i="2" s="1"/>
  <c r="L32" i="2" s="1"/>
  <c r="L33" i="2" s="1"/>
  <c r="E23" i="11"/>
  <c r="M15" i="1"/>
  <c r="Q3" i="1"/>
  <c r="H21" i="1"/>
  <c r="H19" i="10"/>
  <c r="I19" i="10"/>
  <c r="H20" i="10"/>
  <c r="I20" i="10"/>
  <c r="O20" i="10" s="1"/>
  <c r="H21" i="10"/>
  <c r="I21" i="10"/>
  <c r="O21" i="10" s="1"/>
  <c r="N23" i="11"/>
  <c r="Q6" i="1"/>
  <c r="H24" i="1"/>
  <c r="L24" i="1" s="1"/>
  <c r="Q25" i="11"/>
  <c r="R23" i="11"/>
  <c r="T25" i="11"/>
  <c r="U23" i="11"/>
  <c r="Z25" i="11"/>
  <c r="AA23" i="11"/>
  <c r="I64" i="10"/>
  <c r="O64" i="10" s="1"/>
  <c r="O61" i="10"/>
  <c r="AC28" i="11"/>
  <c r="AC26" i="11"/>
  <c r="AC27" i="11" s="1"/>
  <c r="AF28" i="11"/>
  <c r="AF26" i="11"/>
  <c r="AF27" i="11" s="1"/>
  <c r="AI25" i="11"/>
  <c r="AJ23" i="11"/>
  <c r="J27" i="7"/>
  <c r="J25" i="11"/>
  <c r="M5" i="11"/>
  <c r="L5" i="11"/>
  <c r="D46" i="7"/>
  <c r="G28" i="11"/>
  <c r="G22" i="1" s="1"/>
  <c r="G26" i="11"/>
  <c r="G27" i="11" s="1"/>
  <c r="W31" i="3" s="1"/>
  <c r="M6" i="11"/>
  <c r="L6" i="11"/>
  <c r="D47" i="7"/>
  <c r="J47" i="7" s="1"/>
  <c r="M7" i="11"/>
  <c r="L7" i="11"/>
  <c r="D48" i="7"/>
  <c r="J48" i="7" s="1"/>
  <c r="AM7" i="11"/>
  <c r="D223" i="7"/>
  <c r="J223" i="7" s="1"/>
  <c r="M8" i="11"/>
  <c r="L8" i="11"/>
  <c r="D49" i="7"/>
  <c r="J49" i="7" s="1"/>
  <c r="M9" i="11"/>
  <c r="L9" i="11"/>
  <c r="D50" i="7"/>
  <c r="J50" i="7" s="1"/>
  <c r="M10" i="11"/>
  <c r="L10" i="11"/>
  <c r="D51" i="7"/>
  <c r="J51" i="7" s="1"/>
  <c r="M11" i="11"/>
  <c r="L11" i="11"/>
  <c r="D52" i="7"/>
  <c r="J52" i="7" s="1"/>
  <c r="M12" i="11"/>
  <c r="L12" i="11"/>
  <c r="D53" i="7"/>
  <c r="J53" i="7" s="1"/>
  <c r="M13" i="11"/>
  <c r="L13" i="11"/>
  <c r="D54" i="7"/>
  <c r="J54" i="7" s="1"/>
  <c r="M14" i="11"/>
  <c r="L14" i="11"/>
  <c r="D55" i="7"/>
  <c r="J55" i="7" s="1"/>
  <c r="M15" i="11"/>
  <c r="L15" i="11"/>
  <c r="D56" i="7"/>
  <c r="J56" i="7" s="1"/>
  <c r="M17" i="11"/>
  <c r="L17" i="11"/>
  <c r="D58" i="7"/>
  <c r="J58" i="7" s="1"/>
  <c r="M18" i="11"/>
  <c r="L18" i="11"/>
  <c r="D59" i="7"/>
  <c r="J59" i="7" s="1"/>
  <c r="M19" i="11"/>
  <c r="L19" i="11"/>
  <c r="D60" i="7"/>
  <c r="J60" i="7" s="1"/>
  <c r="M20" i="11"/>
  <c r="L20" i="11"/>
  <c r="D61" i="7"/>
  <c r="J61" i="7" s="1"/>
  <c r="M21" i="11"/>
  <c r="L21" i="11"/>
  <c r="D62" i="7"/>
  <c r="J62" i="7" s="1"/>
  <c r="M22" i="11"/>
  <c r="L22" i="11"/>
  <c r="D28" i="11"/>
  <c r="G21" i="1" s="1"/>
  <c r="D26" i="11"/>
  <c r="D27" i="11" s="1"/>
  <c r="W367" i="3" s="1"/>
  <c r="AD23" i="11"/>
  <c r="AG23" i="11"/>
  <c r="D13" i="13"/>
  <c r="J31" i="12"/>
  <c r="J32" i="12" s="1"/>
  <c r="F33" i="13"/>
  <c r="G27" i="13"/>
  <c r="H33" i="13"/>
  <c r="I27" i="13"/>
  <c r="H37" i="13" l="1"/>
  <c r="I37" i="13" s="1"/>
  <c r="I33" i="13"/>
  <c r="F37" i="13"/>
  <c r="G37" i="13" s="1"/>
  <c r="G33" i="13"/>
  <c r="K33" i="12"/>
  <c r="K32" i="12"/>
  <c r="D17" i="13"/>
  <c r="E13" i="13"/>
  <c r="I22" i="1"/>
  <c r="J21" i="1"/>
  <c r="I21" i="1"/>
  <c r="C21" i="1"/>
  <c r="P22" i="11"/>
  <c r="O22" i="11"/>
  <c r="P21" i="11"/>
  <c r="O21" i="11"/>
  <c r="D81" i="7"/>
  <c r="J81" i="7" s="1"/>
  <c r="P20" i="11"/>
  <c r="O20" i="11"/>
  <c r="D80" i="7"/>
  <c r="J80" i="7" s="1"/>
  <c r="P19" i="11"/>
  <c r="O19" i="11"/>
  <c r="D79" i="7"/>
  <c r="J79" i="7" s="1"/>
  <c r="P18" i="11"/>
  <c r="O18" i="11"/>
  <c r="D78" i="7"/>
  <c r="J78" i="7" s="1"/>
  <c r="P17" i="11"/>
  <c r="O17" i="11"/>
  <c r="D77" i="7"/>
  <c r="J77" i="7" s="1"/>
  <c r="P15" i="11"/>
  <c r="O15" i="11"/>
  <c r="D75" i="7"/>
  <c r="J75" i="7" s="1"/>
  <c r="P14" i="11"/>
  <c r="O14" i="11"/>
  <c r="D74" i="7"/>
  <c r="J74" i="7" s="1"/>
  <c r="P13" i="11"/>
  <c r="O13" i="11"/>
  <c r="D73" i="7"/>
  <c r="J73" i="7" s="1"/>
  <c r="P12" i="11"/>
  <c r="O12" i="11"/>
  <c r="D72" i="7"/>
  <c r="J72" i="7" s="1"/>
  <c r="P11" i="11"/>
  <c r="O11" i="11"/>
  <c r="D71" i="7"/>
  <c r="J71" i="7" s="1"/>
  <c r="P10" i="11"/>
  <c r="O10" i="11"/>
  <c r="D70" i="7"/>
  <c r="J70" i="7" s="1"/>
  <c r="P9" i="11"/>
  <c r="O9" i="11"/>
  <c r="D69" i="7"/>
  <c r="J69" i="7" s="1"/>
  <c r="P8" i="11"/>
  <c r="O8" i="11"/>
  <c r="D68" i="7"/>
  <c r="J68" i="7" s="1"/>
  <c r="P7" i="11"/>
  <c r="O7" i="11"/>
  <c r="D67" i="7"/>
  <c r="J67" i="7" s="1"/>
  <c r="P6" i="11"/>
  <c r="O6" i="11"/>
  <c r="D66" i="7"/>
  <c r="J66" i="7" s="1"/>
  <c r="I23" i="1"/>
  <c r="J22" i="1"/>
  <c r="C22" i="1"/>
  <c r="J46" i="7"/>
  <c r="L25" i="11"/>
  <c r="M25" i="11"/>
  <c r="P5" i="11"/>
  <c r="O5" i="11"/>
  <c r="D65" i="7"/>
  <c r="J28" i="11"/>
  <c r="G23" i="1" s="1"/>
  <c r="J26" i="11"/>
  <c r="J27" i="11" s="1"/>
  <c r="W62" i="3" s="1"/>
  <c r="AI28" i="11"/>
  <c r="AI26" i="11"/>
  <c r="AI27" i="11" s="1"/>
  <c r="Z28" i="11"/>
  <c r="Z26" i="11"/>
  <c r="Z27" i="11" s="1"/>
  <c r="T28" i="11"/>
  <c r="T26" i="11"/>
  <c r="T27" i="11" s="1"/>
  <c r="Q28" i="11"/>
  <c r="Q26" i="11"/>
  <c r="Q27" i="11" s="1"/>
  <c r="M24" i="1"/>
  <c r="N24" i="1"/>
  <c r="N25" i="11"/>
  <c r="O23" i="11"/>
  <c r="I22" i="10"/>
  <c r="O22" i="10" s="1"/>
  <c r="O19" i="10"/>
  <c r="H33" i="1"/>
  <c r="L21" i="1"/>
  <c r="Q15" i="1"/>
  <c r="R3" i="1"/>
  <c r="E25" i="11"/>
  <c r="F23" i="11"/>
  <c r="F25" i="11" s="1"/>
  <c r="Q22" i="2"/>
  <c r="M34" i="2"/>
  <c r="I2" i="2"/>
  <c r="T37" i="13"/>
  <c r="U20" i="13"/>
  <c r="D60" i="2"/>
  <c r="P60" i="2" s="1"/>
  <c r="R59" i="2"/>
  <c r="S59" i="2" s="1"/>
  <c r="P26" i="2"/>
  <c r="H10" i="2" s="1"/>
  <c r="H9" i="2"/>
  <c r="D61" i="2" l="1"/>
  <c r="P61" i="2" s="1"/>
  <c r="R60" i="2"/>
  <c r="S60" i="2" s="1"/>
  <c r="U35" i="13"/>
  <c r="U34" i="13"/>
  <c r="U33" i="13"/>
  <c r="U32" i="13"/>
  <c r="U31" i="13"/>
  <c r="U26" i="13"/>
  <c r="U25" i="13"/>
  <c r="U24" i="13"/>
  <c r="U23" i="13"/>
  <c r="U14" i="13"/>
  <c r="U13" i="13"/>
  <c r="U12" i="13"/>
  <c r="U11" i="13"/>
  <c r="U9" i="13"/>
  <c r="U8" i="13"/>
  <c r="U28" i="13"/>
  <c r="U36" i="13"/>
  <c r="U10" i="13"/>
  <c r="Q23" i="2"/>
  <c r="R22" i="2"/>
  <c r="R23" i="2" s="1"/>
  <c r="E28" i="11"/>
  <c r="E26" i="11"/>
  <c r="E27" i="11" s="1"/>
  <c r="V21" i="1"/>
  <c r="D4" i="1"/>
  <c r="R4" i="1" s="1"/>
  <c r="L33" i="1"/>
  <c r="N21" i="1"/>
  <c r="N33" i="1" s="1"/>
  <c r="M21" i="1"/>
  <c r="M33" i="1" s="1"/>
  <c r="N28" i="11"/>
  <c r="N26" i="11"/>
  <c r="N27" i="11" s="1"/>
  <c r="I24" i="1"/>
  <c r="J23" i="1"/>
  <c r="C23" i="1"/>
  <c r="J65" i="7"/>
  <c r="O25" i="11"/>
  <c r="P25" i="11"/>
  <c r="S5" i="11"/>
  <c r="R5" i="11"/>
  <c r="D84" i="7"/>
  <c r="M28" i="11"/>
  <c r="G24" i="1" s="1"/>
  <c r="M26" i="11"/>
  <c r="M27" i="11" s="1"/>
  <c r="W92" i="3" s="1"/>
  <c r="F22" i="1"/>
  <c r="E22" i="1"/>
  <c r="S6" i="11"/>
  <c r="R6" i="11"/>
  <c r="D85" i="7"/>
  <c r="J85" i="7" s="1"/>
  <c r="S7" i="11"/>
  <c r="R7" i="11"/>
  <c r="D86" i="7"/>
  <c r="J86" i="7" s="1"/>
  <c r="S8" i="11"/>
  <c r="R8" i="11"/>
  <c r="D87" i="7"/>
  <c r="J87" i="7" s="1"/>
  <c r="S9" i="11"/>
  <c r="R9" i="11"/>
  <c r="D88" i="7"/>
  <c r="J88" i="7" s="1"/>
  <c r="S10" i="11"/>
  <c r="R10" i="11"/>
  <c r="D89" i="7"/>
  <c r="J89" i="7" s="1"/>
  <c r="S11" i="11"/>
  <c r="R11" i="11"/>
  <c r="D90" i="7"/>
  <c r="J90" i="7" s="1"/>
  <c r="S12" i="11"/>
  <c r="R12" i="11"/>
  <c r="D91" i="7"/>
  <c r="J91" i="7" s="1"/>
  <c r="S13" i="11"/>
  <c r="R13" i="11"/>
  <c r="D92" i="7"/>
  <c r="J92" i="7" s="1"/>
  <c r="S14" i="11"/>
  <c r="R14" i="11"/>
  <c r="D93" i="7"/>
  <c r="J93" i="7" s="1"/>
  <c r="S15" i="11"/>
  <c r="R15" i="11"/>
  <c r="D94" i="7"/>
  <c r="J94" i="7" s="1"/>
  <c r="S17" i="11"/>
  <c r="R17" i="11"/>
  <c r="D96" i="7"/>
  <c r="J96" i="7" s="1"/>
  <c r="S18" i="11"/>
  <c r="R18" i="11"/>
  <c r="D97" i="7"/>
  <c r="J97" i="7" s="1"/>
  <c r="S19" i="11"/>
  <c r="R19" i="11"/>
  <c r="D98" i="7"/>
  <c r="J98" i="7" s="1"/>
  <c r="S20" i="11"/>
  <c r="R20" i="11"/>
  <c r="D99" i="7"/>
  <c r="J99" i="7" s="1"/>
  <c r="S21" i="11"/>
  <c r="R21" i="11"/>
  <c r="D100" i="7"/>
  <c r="J100" i="7" s="1"/>
  <c r="S22" i="11"/>
  <c r="R22" i="11"/>
  <c r="F21" i="1"/>
  <c r="F33" i="1" s="1"/>
  <c r="E21" i="1"/>
  <c r="E17" i="13"/>
  <c r="D19" i="13"/>
  <c r="D27" i="13" l="1"/>
  <c r="E19" i="13"/>
  <c r="V22" i="11"/>
  <c r="U22" i="11"/>
  <c r="V21" i="11"/>
  <c r="U21" i="11"/>
  <c r="D119" i="7"/>
  <c r="J119" i="7" s="1"/>
  <c r="V20" i="11"/>
  <c r="U20" i="11"/>
  <c r="D118" i="7"/>
  <c r="J118" i="7" s="1"/>
  <c r="V19" i="11"/>
  <c r="U19" i="11"/>
  <c r="D117" i="7"/>
  <c r="J117" i="7" s="1"/>
  <c r="V18" i="11"/>
  <c r="U18" i="11"/>
  <c r="D116" i="7"/>
  <c r="J116" i="7" s="1"/>
  <c r="V17" i="11"/>
  <c r="U17" i="11"/>
  <c r="D115" i="7"/>
  <c r="J115" i="7" s="1"/>
  <c r="V15" i="11"/>
  <c r="U15" i="11"/>
  <c r="D113" i="7"/>
  <c r="J113" i="7" s="1"/>
  <c r="V14" i="11"/>
  <c r="U14" i="11"/>
  <c r="D112" i="7"/>
  <c r="J112" i="7" s="1"/>
  <c r="V13" i="11"/>
  <c r="U13" i="11"/>
  <c r="D111" i="7"/>
  <c r="J111" i="7" s="1"/>
  <c r="V12" i="11"/>
  <c r="U12" i="11"/>
  <c r="D110" i="7"/>
  <c r="J110" i="7" s="1"/>
  <c r="V11" i="11"/>
  <c r="U11" i="11"/>
  <c r="D109" i="7"/>
  <c r="J109" i="7" s="1"/>
  <c r="V10" i="11"/>
  <c r="U10" i="11"/>
  <c r="D108" i="7"/>
  <c r="J108" i="7" s="1"/>
  <c r="V9" i="11"/>
  <c r="U9" i="11"/>
  <c r="D107" i="7"/>
  <c r="J107" i="7" s="1"/>
  <c r="V8" i="11"/>
  <c r="U8" i="11"/>
  <c r="D106" i="7"/>
  <c r="J106" i="7" s="1"/>
  <c r="V7" i="11"/>
  <c r="U7" i="11"/>
  <c r="D105" i="7"/>
  <c r="J105" i="7" s="1"/>
  <c r="V6" i="11"/>
  <c r="U6" i="11"/>
  <c r="D104" i="7"/>
  <c r="J104" i="7" s="1"/>
  <c r="I25" i="1"/>
  <c r="J24" i="1"/>
  <c r="C24" i="1"/>
  <c r="J84" i="7"/>
  <c r="R25" i="11"/>
  <c r="S25" i="11"/>
  <c r="V5" i="11"/>
  <c r="U5" i="11"/>
  <c r="U25" i="11" s="1"/>
  <c r="D103" i="7"/>
  <c r="P28" i="11"/>
  <c r="G25" i="1" s="1"/>
  <c r="P26" i="11"/>
  <c r="P27" i="11" s="1"/>
  <c r="W123" i="3" s="1"/>
  <c r="F23" i="1"/>
  <c r="E23" i="1"/>
  <c r="V22" i="1"/>
  <c r="D5" i="1"/>
  <c r="R5" i="1" s="1"/>
  <c r="Z21" i="1"/>
  <c r="Y21" i="1"/>
  <c r="X21" i="1"/>
  <c r="W21" i="1"/>
  <c r="O10" i="13"/>
  <c r="D62" i="2"/>
  <c r="P62" i="2" s="1"/>
  <c r="R61" i="2"/>
  <c r="S61" i="2" s="1"/>
  <c r="D63" i="2" l="1"/>
  <c r="P63" i="2" s="1"/>
  <c r="R62" i="2"/>
  <c r="S62" i="2" s="1"/>
  <c r="O20" i="13"/>
  <c r="V23" i="1"/>
  <c r="D6" i="1"/>
  <c r="R6" i="1" s="1"/>
  <c r="Z22" i="1"/>
  <c r="Y22" i="1"/>
  <c r="X22" i="1"/>
  <c r="W22" i="1"/>
  <c r="I26" i="1"/>
  <c r="J25" i="1"/>
  <c r="C25" i="1"/>
  <c r="J103" i="7"/>
  <c r="V25" i="11"/>
  <c r="Y5" i="11"/>
  <c r="X5" i="11"/>
  <c r="D122" i="7"/>
  <c r="S28" i="11"/>
  <c r="G26" i="1" s="1"/>
  <c r="S26" i="11"/>
  <c r="S27" i="11" s="1"/>
  <c r="W154" i="3" s="1"/>
  <c r="F24" i="1"/>
  <c r="E24" i="1"/>
  <c r="Y6" i="11"/>
  <c r="X6" i="11"/>
  <c r="D123" i="7"/>
  <c r="J123" i="7" s="1"/>
  <c r="Y7" i="11"/>
  <c r="X7" i="11"/>
  <c r="D124" i="7"/>
  <c r="J124" i="7" s="1"/>
  <c r="Y8" i="11"/>
  <c r="X8" i="11"/>
  <c r="D125" i="7"/>
  <c r="J125" i="7" s="1"/>
  <c r="Y9" i="11"/>
  <c r="X9" i="11"/>
  <c r="D126" i="7"/>
  <c r="J126" i="7" s="1"/>
  <c r="Y10" i="11"/>
  <c r="X10" i="11"/>
  <c r="D127" i="7"/>
  <c r="J127" i="7" s="1"/>
  <c r="Y11" i="11"/>
  <c r="X11" i="11"/>
  <c r="D128" i="7"/>
  <c r="J128" i="7" s="1"/>
  <c r="Y12" i="11"/>
  <c r="X12" i="11"/>
  <c r="D129" i="7"/>
  <c r="J129" i="7" s="1"/>
  <c r="Y13" i="11"/>
  <c r="X13" i="11"/>
  <c r="D130" i="7"/>
  <c r="J130" i="7" s="1"/>
  <c r="Y14" i="11"/>
  <c r="X14" i="11"/>
  <c r="D131" i="7"/>
  <c r="J131" i="7" s="1"/>
  <c r="Y15" i="11"/>
  <c r="X15" i="11"/>
  <c r="D132" i="7"/>
  <c r="J132" i="7" s="1"/>
  <c r="Y17" i="11"/>
  <c r="X17" i="11"/>
  <c r="D134" i="7"/>
  <c r="J134" i="7" s="1"/>
  <c r="Y18" i="11"/>
  <c r="X18" i="11"/>
  <c r="D135" i="7"/>
  <c r="J135" i="7" s="1"/>
  <c r="Y19" i="11"/>
  <c r="X19" i="11"/>
  <c r="D136" i="7"/>
  <c r="J136" i="7" s="1"/>
  <c r="Y20" i="11"/>
  <c r="X20" i="11"/>
  <c r="D137" i="7"/>
  <c r="J137" i="7" s="1"/>
  <c r="Y21" i="11"/>
  <c r="X21" i="11"/>
  <c r="D138" i="7"/>
  <c r="J138" i="7" s="1"/>
  <c r="Y22" i="11"/>
  <c r="X22" i="11"/>
  <c r="D33" i="13"/>
  <c r="E27" i="13"/>
  <c r="D35" i="13" l="1"/>
  <c r="E33" i="13"/>
  <c r="AB22" i="11"/>
  <c r="AA22" i="11"/>
  <c r="AB21" i="11"/>
  <c r="AA21" i="11"/>
  <c r="D157" i="7"/>
  <c r="J157" i="7" s="1"/>
  <c r="AB20" i="11"/>
  <c r="AA20" i="11"/>
  <c r="D156" i="7"/>
  <c r="J156" i="7" s="1"/>
  <c r="AB19" i="11"/>
  <c r="AA19" i="11"/>
  <c r="D155" i="7"/>
  <c r="J155" i="7" s="1"/>
  <c r="AB18" i="11"/>
  <c r="AA18" i="11"/>
  <c r="D154" i="7"/>
  <c r="J154" i="7" s="1"/>
  <c r="AB17" i="11"/>
  <c r="AA17" i="11"/>
  <c r="D153" i="7"/>
  <c r="J153" i="7" s="1"/>
  <c r="AB15" i="11"/>
  <c r="AA15" i="11"/>
  <c r="D151" i="7"/>
  <c r="J151" i="7" s="1"/>
  <c r="AB14" i="11"/>
  <c r="AA14" i="11"/>
  <c r="D150" i="7"/>
  <c r="J150" i="7" s="1"/>
  <c r="AB13" i="11"/>
  <c r="AA13" i="11"/>
  <c r="D149" i="7"/>
  <c r="J149" i="7" s="1"/>
  <c r="AB12" i="11"/>
  <c r="AA12" i="11"/>
  <c r="D148" i="7"/>
  <c r="J148" i="7" s="1"/>
  <c r="AB11" i="11"/>
  <c r="AA11" i="11"/>
  <c r="D147" i="7"/>
  <c r="J147" i="7" s="1"/>
  <c r="AB10" i="11"/>
  <c r="AA10" i="11"/>
  <c r="D146" i="7"/>
  <c r="J146" i="7" s="1"/>
  <c r="AB9" i="11"/>
  <c r="AA9" i="11"/>
  <c r="D145" i="7"/>
  <c r="J145" i="7" s="1"/>
  <c r="AB8" i="11"/>
  <c r="AA8" i="11"/>
  <c r="D144" i="7"/>
  <c r="J144" i="7" s="1"/>
  <c r="AA7" i="11"/>
  <c r="D143" i="7"/>
  <c r="J143" i="7" s="1"/>
  <c r="AB6" i="11"/>
  <c r="AA6" i="11"/>
  <c r="D142" i="7"/>
  <c r="J142" i="7" s="1"/>
  <c r="I27" i="1"/>
  <c r="J26" i="1"/>
  <c r="C26" i="1"/>
  <c r="J122" i="7"/>
  <c r="X25" i="11"/>
  <c r="Y25" i="11"/>
  <c r="AB5" i="11"/>
  <c r="AA5" i="11"/>
  <c r="AA25" i="11" s="1"/>
  <c r="D141" i="7"/>
  <c r="V28" i="11"/>
  <c r="G27" i="1" s="1"/>
  <c r="V26" i="11"/>
  <c r="V27" i="11" s="1"/>
  <c r="W184" i="3" s="1"/>
  <c r="F25" i="1"/>
  <c r="E25" i="1"/>
  <c r="V24" i="1"/>
  <c r="D7" i="1"/>
  <c r="R7" i="1" s="1"/>
  <c r="Z23" i="1"/>
  <c r="Y23" i="1"/>
  <c r="X23" i="1"/>
  <c r="W23" i="1"/>
  <c r="O37" i="13"/>
  <c r="P20" i="13"/>
  <c r="D64" i="2"/>
  <c r="P64" i="2" s="1"/>
  <c r="R63" i="2"/>
  <c r="S63" i="2" s="1"/>
  <c r="D65" i="2" l="1"/>
  <c r="P65" i="2" s="1"/>
  <c r="R64" i="2"/>
  <c r="S64" i="2" s="1"/>
  <c r="P27" i="13"/>
  <c r="P26" i="13"/>
  <c r="P25" i="13"/>
  <c r="P24" i="13"/>
  <c r="P19" i="13"/>
  <c r="P18" i="13"/>
  <c r="P17" i="13"/>
  <c r="P16" i="13"/>
  <c r="P15" i="13"/>
  <c r="P14" i="13"/>
  <c r="P13" i="13"/>
  <c r="P12" i="13"/>
  <c r="P11" i="13"/>
  <c r="P28" i="13"/>
  <c r="P9" i="13"/>
  <c r="P8" i="13"/>
  <c r="P10" i="13"/>
  <c r="V25" i="1"/>
  <c r="D8" i="1"/>
  <c r="R8" i="1" s="1"/>
  <c r="Z24" i="1"/>
  <c r="Y24" i="1"/>
  <c r="X24" i="1"/>
  <c r="W24" i="1"/>
  <c r="I28" i="1"/>
  <c r="J27" i="1"/>
  <c r="C27" i="1"/>
  <c r="J141" i="7"/>
  <c r="AB25" i="11"/>
  <c r="AE5" i="11"/>
  <c r="AD5" i="11"/>
  <c r="D161" i="7"/>
  <c r="Y28" i="11"/>
  <c r="G28" i="1" s="1"/>
  <c r="Y26" i="11"/>
  <c r="Y27" i="11" s="1"/>
  <c r="W215" i="3" s="1"/>
  <c r="F26" i="1"/>
  <c r="E26" i="1"/>
  <c r="AE6" i="11"/>
  <c r="AD6" i="11"/>
  <c r="D162" i="7"/>
  <c r="J162" i="7" s="1"/>
  <c r="AE8" i="11"/>
  <c r="AD8" i="11"/>
  <c r="D164" i="7"/>
  <c r="J164" i="7" s="1"/>
  <c r="AE9" i="11"/>
  <c r="AD9" i="11"/>
  <c r="D165" i="7"/>
  <c r="J165" i="7" s="1"/>
  <c r="AE10" i="11"/>
  <c r="AD10" i="11"/>
  <c r="D166" i="7"/>
  <c r="J166" i="7" s="1"/>
  <c r="AE11" i="11"/>
  <c r="AD11" i="11"/>
  <c r="D167" i="7"/>
  <c r="J167" i="7" s="1"/>
  <c r="AE12" i="11"/>
  <c r="AD12" i="11"/>
  <c r="D168" i="7"/>
  <c r="J168" i="7" s="1"/>
  <c r="AE13" i="11"/>
  <c r="AD13" i="11"/>
  <c r="D169" i="7"/>
  <c r="J169" i="7" s="1"/>
  <c r="AE14" i="11"/>
  <c r="AD14" i="11"/>
  <c r="D170" i="7"/>
  <c r="J170" i="7" s="1"/>
  <c r="AE15" i="11"/>
  <c r="AD15" i="11"/>
  <c r="D171" i="7"/>
  <c r="J171" i="7" s="1"/>
  <c r="AE17" i="11"/>
  <c r="AD17" i="11"/>
  <c r="D173" i="7"/>
  <c r="J173" i="7" s="1"/>
  <c r="AE18" i="11"/>
  <c r="AD18" i="11"/>
  <c r="D174" i="7"/>
  <c r="J174" i="7" s="1"/>
  <c r="AE19" i="11"/>
  <c r="AD19" i="11"/>
  <c r="D175" i="7"/>
  <c r="J175" i="7" s="1"/>
  <c r="AE20" i="11"/>
  <c r="AD20" i="11"/>
  <c r="D176" i="7"/>
  <c r="J176" i="7" s="1"/>
  <c r="AE21" i="11"/>
  <c r="AD21" i="11"/>
  <c r="D177" i="7"/>
  <c r="J177" i="7" s="1"/>
  <c r="AE22" i="11"/>
  <c r="AD22" i="11"/>
  <c r="E35" i="13"/>
  <c r="D37" i="13"/>
  <c r="E37" i="13" s="1"/>
  <c r="AH22" i="11" l="1"/>
  <c r="AG22" i="11"/>
  <c r="AH21" i="11"/>
  <c r="AG21" i="11"/>
  <c r="D197" i="7"/>
  <c r="J197" i="7" s="1"/>
  <c r="AH20" i="11"/>
  <c r="AG20" i="11"/>
  <c r="D196" i="7"/>
  <c r="J196" i="7" s="1"/>
  <c r="AH19" i="11"/>
  <c r="AG19" i="11"/>
  <c r="D195" i="7"/>
  <c r="J195" i="7" s="1"/>
  <c r="AH18" i="11"/>
  <c r="AG18" i="11"/>
  <c r="D194" i="7"/>
  <c r="J194" i="7" s="1"/>
  <c r="AH17" i="11"/>
  <c r="AG17" i="11"/>
  <c r="D193" i="7"/>
  <c r="J193" i="7" s="1"/>
  <c r="AH15" i="11"/>
  <c r="AG15" i="11"/>
  <c r="D191" i="7"/>
  <c r="J191" i="7" s="1"/>
  <c r="AH14" i="11"/>
  <c r="AG14" i="11"/>
  <c r="D190" i="7"/>
  <c r="J190" i="7" s="1"/>
  <c r="AH13" i="11"/>
  <c r="AG13" i="11"/>
  <c r="D189" i="7"/>
  <c r="J189" i="7" s="1"/>
  <c r="AH12" i="11"/>
  <c r="AG12" i="11"/>
  <c r="D188" i="7"/>
  <c r="J188" i="7" s="1"/>
  <c r="AH11" i="11"/>
  <c r="AG11" i="11"/>
  <c r="D187" i="7"/>
  <c r="J187" i="7" s="1"/>
  <c r="AH10" i="11"/>
  <c r="AG10" i="11"/>
  <c r="D186" i="7"/>
  <c r="J186" i="7" s="1"/>
  <c r="AH9" i="11"/>
  <c r="AG9" i="11"/>
  <c r="D185" i="7"/>
  <c r="J185" i="7" s="1"/>
  <c r="AH8" i="11"/>
  <c r="AG8" i="11"/>
  <c r="D184" i="7"/>
  <c r="J184" i="7" s="1"/>
  <c r="AH6" i="11"/>
  <c r="AG6" i="11"/>
  <c r="D182" i="7"/>
  <c r="J182" i="7" s="1"/>
  <c r="I29" i="1"/>
  <c r="J28" i="1"/>
  <c r="C28" i="1"/>
  <c r="J161" i="7"/>
  <c r="AD25" i="11"/>
  <c r="AE25" i="11"/>
  <c r="AH5" i="11"/>
  <c r="AG5" i="11"/>
  <c r="AG25" i="11" s="1"/>
  <c r="D181" i="7"/>
  <c r="AB28" i="11"/>
  <c r="G29" i="1" s="1"/>
  <c r="AB26" i="11"/>
  <c r="AB27" i="11" s="1"/>
  <c r="W245" i="3" s="1"/>
  <c r="F27" i="1"/>
  <c r="E27" i="1"/>
  <c r="V26" i="1"/>
  <c r="D9" i="1"/>
  <c r="R9" i="1" s="1"/>
  <c r="Z25" i="1"/>
  <c r="Y25" i="1"/>
  <c r="X25" i="1"/>
  <c r="W25" i="1"/>
  <c r="D66" i="2"/>
  <c r="P66" i="2" s="1"/>
  <c r="R65" i="2"/>
  <c r="S65" i="2" s="1"/>
  <c r="D67" i="2" l="1"/>
  <c r="P67" i="2" s="1"/>
  <c r="R66" i="2"/>
  <c r="S66" i="2" s="1"/>
  <c r="V27" i="1"/>
  <c r="D10" i="1"/>
  <c r="R10" i="1" s="1"/>
  <c r="Z26" i="1"/>
  <c r="Y26" i="1"/>
  <c r="X26" i="1"/>
  <c r="W26" i="1"/>
  <c r="I30" i="1"/>
  <c r="J29" i="1"/>
  <c r="C29" i="1"/>
  <c r="J181" i="7"/>
  <c r="AH25" i="11"/>
  <c r="AK5" i="11"/>
  <c r="AJ5" i="11"/>
  <c r="D201" i="7"/>
  <c r="AE28" i="11"/>
  <c r="G30" i="1" s="1"/>
  <c r="AE26" i="11"/>
  <c r="AE27" i="11" s="1"/>
  <c r="W276" i="3" s="1"/>
  <c r="F28" i="1"/>
  <c r="E28" i="1"/>
  <c r="AK6" i="11"/>
  <c r="AJ6" i="11"/>
  <c r="D202" i="7"/>
  <c r="J202" i="7" s="1"/>
  <c r="AK8" i="11"/>
  <c r="AJ8" i="11"/>
  <c r="D204" i="7"/>
  <c r="J204" i="7" s="1"/>
  <c r="AK9" i="11"/>
  <c r="AJ9" i="11"/>
  <c r="D205" i="7"/>
  <c r="J205" i="7" s="1"/>
  <c r="AK10" i="11"/>
  <c r="AJ10" i="11"/>
  <c r="D206" i="7"/>
  <c r="J206" i="7" s="1"/>
  <c r="AK11" i="11"/>
  <c r="AJ11" i="11"/>
  <c r="D207" i="7"/>
  <c r="J207" i="7" s="1"/>
  <c r="AK12" i="11"/>
  <c r="AJ12" i="11"/>
  <c r="D208" i="7"/>
  <c r="J208" i="7" s="1"/>
  <c r="AK13" i="11"/>
  <c r="AJ13" i="11"/>
  <c r="D209" i="7"/>
  <c r="J209" i="7" s="1"/>
  <c r="AK14" i="11"/>
  <c r="AJ14" i="11"/>
  <c r="D210" i="7"/>
  <c r="J210" i="7" s="1"/>
  <c r="AK15" i="11"/>
  <c r="AJ15" i="11"/>
  <c r="D211" i="7"/>
  <c r="J211" i="7" s="1"/>
  <c r="AK17" i="11"/>
  <c r="AJ17" i="11"/>
  <c r="D213" i="7"/>
  <c r="J213" i="7" s="1"/>
  <c r="AK18" i="11"/>
  <c r="AJ18" i="11"/>
  <c r="D214" i="7"/>
  <c r="J214" i="7" s="1"/>
  <c r="AK19" i="11"/>
  <c r="AJ19" i="11"/>
  <c r="D215" i="7"/>
  <c r="J215" i="7" s="1"/>
  <c r="AK20" i="11"/>
  <c r="AJ20" i="11"/>
  <c r="D216" i="7"/>
  <c r="J216" i="7" s="1"/>
  <c r="AK21" i="11"/>
  <c r="AJ21" i="11"/>
  <c r="D217" i="7"/>
  <c r="J217" i="7" s="1"/>
  <c r="AK22" i="11"/>
  <c r="AM22" i="11" s="1"/>
  <c r="AJ22" i="11"/>
  <c r="AM21" i="11" l="1"/>
  <c r="D237" i="7"/>
  <c r="J237" i="7" s="1"/>
  <c r="AM20" i="11"/>
  <c r="D236" i="7"/>
  <c r="J236" i="7" s="1"/>
  <c r="AM19" i="11"/>
  <c r="D235" i="7"/>
  <c r="J235" i="7" s="1"/>
  <c r="AM18" i="11"/>
  <c r="D234" i="7"/>
  <c r="J234" i="7" s="1"/>
  <c r="AM17" i="11"/>
  <c r="D233" i="7"/>
  <c r="J233" i="7" s="1"/>
  <c r="AM15" i="11"/>
  <c r="D231" i="7"/>
  <c r="J231" i="7" s="1"/>
  <c r="AM14" i="11"/>
  <c r="D230" i="7"/>
  <c r="J230" i="7" s="1"/>
  <c r="AM13" i="11"/>
  <c r="D229" i="7"/>
  <c r="J229" i="7" s="1"/>
  <c r="AM12" i="11"/>
  <c r="D228" i="7"/>
  <c r="J228" i="7" s="1"/>
  <c r="AM11" i="11"/>
  <c r="D227" i="7"/>
  <c r="J227" i="7" s="1"/>
  <c r="AM10" i="11"/>
  <c r="D226" i="7"/>
  <c r="J226" i="7" s="1"/>
  <c r="AM9" i="11"/>
  <c r="D225" i="7"/>
  <c r="J225" i="7" s="1"/>
  <c r="AM8" i="11"/>
  <c r="D224" i="7"/>
  <c r="J224" i="7" s="1"/>
  <c r="AM6" i="11"/>
  <c r="D222" i="7"/>
  <c r="J222" i="7" s="1"/>
  <c r="I31" i="1"/>
  <c r="J30" i="1"/>
  <c r="C30" i="1"/>
  <c r="S39" i="1"/>
  <c r="S40" i="1" s="1"/>
  <c r="J201" i="7"/>
  <c r="AJ25" i="11"/>
  <c r="AK25" i="11"/>
  <c r="AM5" i="11"/>
  <c r="AM25" i="11" s="1"/>
  <c r="D221" i="7"/>
  <c r="AH28" i="11"/>
  <c r="G31" i="1" s="1"/>
  <c r="AH26" i="11"/>
  <c r="AH27" i="11" s="1"/>
  <c r="W307" i="3" s="1"/>
  <c r="F29" i="1"/>
  <c r="E29" i="1"/>
  <c r="V28" i="1"/>
  <c r="D11" i="1"/>
  <c r="R11" i="1" s="1"/>
  <c r="Z27" i="1"/>
  <c r="Y27" i="1"/>
  <c r="X27" i="1"/>
  <c r="W27" i="1"/>
  <c r="D68" i="2"/>
  <c r="P68" i="2" s="1"/>
  <c r="R67" i="2"/>
  <c r="S67" i="2" s="1"/>
  <c r="P69" i="2" l="1"/>
  <c r="R68" i="2"/>
  <c r="S68" i="2" s="1"/>
  <c r="V29" i="1"/>
  <c r="D12" i="1"/>
  <c r="R12" i="1" s="1"/>
  <c r="Z28" i="1"/>
  <c r="Y28" i="1"/>
  <c r="X28" i="1"/>
  <c r="W28" i="1"/>
  <c r="I32" i="1"/>
  <c r="J31" i="1"/>
  <c r="C31" i="1"/>
  <c r="G33" i="1"/>
  <c r="J221" i="7"/>
  <c r="J4" i="7" s="1"/>
  <c r="D4" i="7"/>
  <c r="AK28" i="11"/>
  <c r="G32" i="1" s="1"/>
  <c r="AK26" i="11"/>
  <c r="AK27" i="11" s="1"/>
  <c r="W335" i="3" s="1"/>
  <c r="F30" i="1"/>
  <c r="E30" i="1"/>
  <c r="I33" i="1"/>
  <c r="J32" i="1" l="1"/>
  <c r="J33" i="1" s="1"/>
  <c r="C32" i="1"/>
  <c r="F31" i="1"/>
  <c r="E31" i="1"/>
  <c r="V30" i="1"/>
  <c r="D13" i="1"/>
  <c r="R13" i="1" s="1"/>
  <c r="Z29" i="1"/>
  <c r="Y29" i="1"/>
  <c r="X29" i="1"/>
  <c r="W29" i="1"/>
  <c r="Q71" i="2"/>
  <c r="I4" i="2"/>
  <c r="I5" i="2" s="1"/>
  <c r="V31" i="1" l="1"/>
  <c r="D14" i="1"/>
  <c r="R14" i="1" s="1"/>
  <c r="Z30" i="1"/>
  <c r="Y30" i="1"/>
  <c r="X30" i="1"/>
  <c r="W30" i="1"/>
  <c r="F32" i="1"/>
  <c r="E32" i="1"/>
  <c r="E33" i="1" s="1"/>
  <c r="C33" i="1"/>
  <c r="V32" i="1" l="1"/>
  <c r="R15" i="1"/>
  <c r="Z31" i="1"/>
  <c r="Y31" i="1"/>
  <c r="X31" i="1"/>
  <c r="W31" i="1"/>
  <c r="V33" i="1"/>
  <c r="Z32" i="1" l="1"/>
  <c r="Z33" i="1" s="1"/>
  <c r="Y32" i="1"/>
  <c r="Y33" i="1" s="1"/>
  <c r="X32" i="1"/>
  <c r="X33" i="1" s="1"/>
  <c r="W32" i="1"/>
  <c r="W33" i="1" s="1"/>
  <c r="Q3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9" authorId="0" shapeId="0" xr:uid="{00000000-0006-0000-0000-000001000000}">
      <text>
        <r>
          <rPr>
            <sz val="10"/>
            <color rgb="FF000000"/>
            <rFont val="Arial"/>
            <scheme val="minor"/>
          </rPr>
          <t>DIferencia = (Real Compras + Balance Inicial) - Saldo esperado de compras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52" authorId="0" shapeId="0" xr:uid="{00000000-0006-0000-0200-000001000000}">
      <text>
        <r>
          <rPr>
            <sz val="10"/>
            <color rgb="FF000000"/>
            <rFont val="Arial"/>
            <scheme val="minor"/>
          </rPr>
          <t>Efectivo mal declarado</t>
        </r>
      </text>
    </comment>
    <comment ref="N59" authorId="0" shapeId="0" xr:uid="{00000000-0006-0000-0200-000002000000}">
      <text>
        <r>
          <rPr>
            <sz val="10"/>
            <color rgb="FF000000"/>
            <rFont val="Arial"/>
            <scheme val="minor"/>
          </rPr>
          <t>Efectivo mal declarado</t>
        </r>
      </text>
    </comment>
    <comment ref="N65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Efectivo mal declarado
</t>
        </r>
      </text>
    </comment>
    <comment ref="I68" authorId="0" shapeId="0" xr:uid="{00000000-0006-0000-0200-000004000000}">
      <text>
        <r>
          <rPr>
            <sz val="10"/>
            <color rgb="FF000000"/>
            <rFont val="Arial"/>
            <scheme val="minor"/>
          </rPr>
          <t>Se cerró ticket en efectivo y se cobró con MP</t>
        </r>
      </text>
    </comment>
    <comment ref="N75" authorId="0" shapeId="0" xr:uid="{00000000-0006-0000-0200-000005000000}">
      <text>
        <r>
          <rPr>
            <sz val="10"/>
            <color rgb="FF000000"/>
            <rFont val="Arial"/>
            <scheme val="minor"/>
          </rPr>
          <t>Efectivo mal declarado</t>
        </r>
      </text>
    </comment>
    <comment ref="N85" authorId="0" shapeId="0" xr:uid="{00000000-0006-0000-0200-000006000000}">
      <text>
        <r>
          <rPr>
            <sz val="10"/>
            <color rgb="FF000000"/>
            <rFont val="Arial"/>
            <scheme val="minor"/>
          </rPr>
          <t>Efectivo mal declarado</t>
        </r>
      </text>
    </comment>
    <comment ref="N99" authorId="0" shapeId="0" xr:uid="{00000000-0006-0000-0200-000007000000}">
      <text>
        <r>
          <rPr>
            <sz val="10"/>
            <color rgb="FF000000"/>
            <rFont val="Arial"/>
            <scheme val="minor"/>
          </rPr>
          <t>Efectivo mal declarado</t>
        </r>
      </text>
    </comment>
    <comment ref="P117" authorId="0" shapeId="0" xr:uid="{00000000-0006-0000-0200-000008000000}">
      <text>
        <r>
          <rPr>
            <sz val="10"/>
            <color rgb="FF000000"/>
            <rFont val="Arial"/>
            <scheme val="minor"/>
          </rPr>
          <t>A cobrar por venta en Pedidos Ya</t>
        </r>
      </text>
    </comment>
    <comment ref="Q124" authorId="0" shapeId="0" xr:uid="{00000000-0006-0000-0200-000009000000}">
      <text>
        <r>
          <rPr>
            <sz val="10"/>
            <color rgb="FF000000"/>
            <rFont val="Arial"/>
            <scheme val="minor"/>
          </rPr>
          <t>Pedidos Ya $ 857,00</t>
        </r>
      </text>
    </comment>
    <comment ref="N135" authorId="0" shapeId="0" xr:uid="{00000000-0006-0000-0200-00000A000000}">
      <text>
        <r>
          <rPr>
            <sz val="10"/>
            <color rgb="FF000000"/>
            <rFont val="Arial"/>
            <scheme val="minor"/>
          </rPr>
          <t>Efectivo mal declarado</t>
        </r>
      </text>
    </comment>
    <comment ref="N154" authorId="0" shapeId="0" xr:uid="{00000000-0006-0000-0200-00000B000000}">
      <text>
        <r>
          <rPr>
            <sz val="10"/>
            <color rgb="FF000000"/>
            <rFont val="Arial"/>
            <scheme val="minor"/>
          </rPr>
          <t>Efectivo mal declarado</t>
        </r>
      </text>
    </comment>
    <comment ref="N163" authorId="0" shapeId="0" xr:uid="{00000000-0006-0000-0200-00000C000000}">
      <text>
        <r>
          <rPr>
            <sz val="10"/>
            <color rgb="FF000000"/>
            <rFont val="Arial"/>
            <scheme val="minor"/>
          </rPr>
          <t>Efectivo mal declarado</t>
        </r>
      </text>
    </comment>
    <comment ref="N178" authorId="0" shapeId="0" xr:uid="{00000000-0006-0000-0200-00000D000000}">
      <text>
        <r>
          <rPr>
            <sz val="10"/>
            <color rgb="FF000000"/>
            <rFont val="Arial"/>
            <scheme val="minor"/>
          </rPr>
          <t>Efectivo mal declarado</t>
        </r>
      </text>
    </comment>
    <comment ref="N190" authorId="0" shapeId="0" xr:uid="{00000000-0006-0000-0200-00000E000000}">
      <text>
        <r>
          <rPr>
            <sz val="10"/>
            <color rgb="FF000000"/>
            <rFont val="Arial"/>
            <scheme val="minor"/>
          </rPr>
          <t>EFECTIVO MAL DECLARADO</t>
        </r>
      </text>
    </comment>
    <comment ref="N200" authorId="0" shapeId="0" xr:uid="{00000000-0006-0000-0200-00000F000000}">
      <text>
        <r>
          <rPr>
            <sz val="10"/>
            <color rgb="FF000000"/>
            <rFont val="Arial"/>
            <scheme val="minor"/>
          </rPr>
          <t>SE PAGÓ FACTURA 111460 DE QUENTO</t>
        </r>
      </text>
    </comment>
    <comment ref="N201" authorId="0" shapeId="0" xr:uid="{00000000-0006-0000-0200-000010000000}">
      <text>
        <r>
          <rPr>
            <sz val="10"/>
            <color rgb="FF000000"/>
            <rFont val="Arial"/>
            <scheme val="minor"/>
          </rPr>
          <t>Se pagó factura SPEED por 2520,00</t>
        </r>
      </text>
    </comment>
    <comment ref="N206" authorId="0" shapeId="0" xr:uid="{00000000-0006-0000-0200-000011000000}">
      <text>
        <r>
          <rPr>
            <sz val="10"/>
            <color rgb="FF000000"/>
            <rFont val="Arial"/>
            <scheme val="minor"/>
          </rPr>
          <t>Pago Factura Doña Emilia por 880,00</t>
        </r>
      </text>
    </comment>
    <comment ref="N210" authorId="0" shapeId="0" xr:uid="{00000000-0006-0000-0200-000012000000}">
      <text>
        <r>
          <rPr>
            <sz val="10"/>
            <color rgb="FF000000"/>
            <rFont val="Arial"/>
            <scheme val="minor"/>
          </rPr>
          <t>EFECTIVO MAL DECLARADO</t>
        </r>
      </text>
    </comment>
    <comment ref="N212" authorId="0" shapeId="0" xr:uid="{00000000-0006-0000-0200-000013000000}">
      <text>
        <r>
          <rPr>
            <sz val="10"/>
            <color rgb="FF000000"/>
            <rFont val="Arial"/>
            <scheme val="minor"/>
          </rPr>
          <t>EFECTIVO MAL DECLARADO</t>
        </r>
      </text>
    </comment>
    <comment ref="Q214" authorId="0" shapeId="0" xr:uid="{00000000-0006-0000-0200-000014000000}">
      <text>
        <r>
          <rPr>
            <sz val="10"/>
            <color rgb="FF000000"/>
            <rFont val="Arial"/>
            <scheme val="minor"/>
          </rPr>
          <t>PEDIDOS YA = 553,00</t>
        </r>
      </text>
    </comment>
    <comment ref="N215" authorId="0" shapeId="0" xr:uid="{00000000-0006-0000-0200-000015000000}">
      <text>
        <r>
          <rPr>
            <sz val="10"/>
            <color rgb="FF000000"/>
            <rFont val="Arial"/>
            <scheme val="minor"/>
          </rPr>
          <t>Efectivo mal declarado</t>
        </r>
      </text>
    </comment>
    <comment ref="N232" authorId="0" shapeId="0" xr:uid="{00000000-0006-0000-0200-000016000000}">
      <text>
        <r>
          <rPr>
            <sz val="10"/>
            <color rgb="FF000000"/>
            <rFont val="Arial"/>
            <scheme val="minor"/>
          </rPr>
          <t>EFECTIVO MAL DECLARADO</t>
        </r>
      </text>
    </comment>
    <comment ref="N233" authorId="0" shapeId="0" xr:uid="{00000000-0006-0000-0200-000017000000}">
      <text>
        <r>
          <rPr>
            <sz val="10"/>
            <color rgb="FF000000"/>
            <rFont val="Arial"/>
            <scheme val="minor"/>
          </rPr>
          <t>EFECTIVO MAL DECLARADO</t>
        </r>
      </text>
    </comment>
    <comment ref="I266" authorId="0" shapeId="0" xr:uid="{00000000-0006-0000-0200-000018000000}">
      <text>
        <r>
          <rPr>
            <sz val="10"/>
            <color rgb="FF000000"/>
            <rFont val="Arial"/>
            <scheme val="minor"/>
          </rPr>
          <t>Saldo de recargas sin facturar</t>
        </r>
      </text>
    </comment>
  </commentList>
</comments>
</file>

<file path=xl/sharedStrings.xml><?xml version="1.0" encoding="utf-8"?>
<sst xmlns="http://schemas.openxmlformats.org/spreadsheetml/2006/main" count="2132" uniqueCount="615">
  <si>
    <t>FLUJO DE CAJA</t>
  </si>
  <si>
    <t>INGRESOS</t>
  </si>
  <si>
    <t>EGRESOS</t>
  </si>
  <si>
    <t>Inicio</t>
  </si>
  <si>
    <t>Cierre</t>
  </si>
  <si>
    <t>Balance Inicial</t>
  </si>
  <si>
    <t>Ventas</t>
  </si>
  <si>
    <t>Intereses</t>
  </si>
  <si>
    <t>Ab. Ctas. x Cobrar</t>
  </si>
  <si>
    <t>O Ingresos</t>
  </si>
  <si>
    <t>Recargas</t>
  </si>
  <si>
    <t>Compras</t>
  </si>
  <si>
    <t>Insumos</t>
  </si>
  <si>
    <t>Serv. e Imp.</t>
  </si>
  <si>
    <t>Sueldos</t>
  </si>
  <si>
    <t>Ctas. x Cobrar</t>
  </si>
  <si>
    <t>O Gastos</t>
  </si>
  <si>
    <t>GASTOS</t>
  </si>
  <si>
    <t>BALANCE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</si>
  <si>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</si>
  <si>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</si>
  <si>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</si>
  <si>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</si>
  <si>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</si>
  <si>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</si>
  <si>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</si>
  <si>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</si>
  <si>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</si>
  <si>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</si>
  <si>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</si>
  <si>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</si>
  <si>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Totales</t>
  </si>
  <si>
    <t>PROFIT FIRST</t>
  </si>
  <si>
    <t>COMPRAS</t>
  </si>
  <si>
    <t>SERVICIOS</t>
  </si>
  <si>
    <t>UTILIDAD</t>
  </si>
  <si>
    <t>Esperado</t>
  </si>
  <si>
    <t>Diferencia</t>
  </si>
  <si>
    <t>Ctas. x Pagar</t>
  </si>
  <si>
    <t>Socios</t>
  </si>
  <si>
    <t>Reserva</t>
  </si>
  <si>
    <t>Ganancia</t>
  </si>
  <si>
    <t>Abono Ctas x Pag</t>
  </si>
  <si>
    <t>GANANCIA</t>
  </si>
  <si>
    <t>SOCIOS</t>
  </si>
  <si>
    <t>REINVERSIÓN</t>
  </si>
  <si>
    <t>CTAS.X PAGAR</t>
  </si>
  <si>
    <t>RESERVA</t>
  </si>
  <si>
    <t>Ing - Serv - Util</t>
  </si>
  <si>
    <t>Real</t>
  </si>
  <si>
    <t>$</t>
  </si>
  <si>
    <t>%</t>
  </si>
  <si>
    <t>Diario</t>
  </si>
  <si>
    <t>Compras Ale</t>
  </si>
  <si>
    <t>SANTANDER</t>
  </si>
  <si>
    <t>EFECTIVO $</t>
  </si>
  <si>
    <t>EFECTIVO</t>
  </si>
  <si>
    <t>EFECTIVO USD</t>
  </si>
  <si>
    <t>USD</t>
  </si>
  <si>
    <t>Efectivo</t>
  </si>
  <si>
    <t>Hasta Hoy</t>
  </si>
  <si>
    <t>RESUMEN</t>
  </si>
  <si>
    <t>INGRESO TOTAL</t>
  </si>
  <si>
    <t>FISCAL</t>
  </si>
  <si>
    <t>GASTO TOTAL</t>
  </si>
  <si>
    <t>SALDO DISPONIBLE</t>
  </si>
  <si>
    <t>PRESUPUESTO</t>
  </si>
  <si>
    <t>CONCEPTO</t>
  </si>
  <si>
    <t>ESTIMADO</t>
  </si>
  <si>
    <t>ABONADO</t>
  </si>
  <si>
    <t>SALDO</t>
  </si>
  <si>
    <t>ALQUILER</t>
  </si>
  <si>
    <t>MP</t>
  </si>
  <si>
    <t>ALARMA</t>
  </si>
  <si>
    <t>MONOTRIBUTO</t>
  </si>
  <si>
    <t>ELECTRICIDAD</t>
  </si>
  <si>
    <t>CONTADOR DE EFECTIVO</t>
  </si>
  <si>
    <t>PRESUPUESTO MES</t>
  </si>
  <si>
    <t>INTERNET</t>
  </si>
  <si>
    <t>EN LOCAL</t>
  </si>
  <si>
    <t>SEG. Y AMB.</t>
  </si>
  <si>
    <t>EQUILIBRIO</t>
  </si>
  <si>
    <t>PUB. Y PROP.</t>
  </si>
  <si>
    <t>EQUILIBRIO DIA</t>
  </si>
  <si>
    <t>FUMIGACIÓN</t>
  </si>
  <si>
    <t>SERVICIOS DÍA</t>
  </si>
  <si>
    <t>ASEO</t>
  </si>
  <si>
    <t>ANÁLISIS DE AGUA</t>
  </si>
  <si>
    <t>LICENCIA LICORES</t>
  </si>
  <si>
    <t>RENOVACION ALQUILER</t>
  </si>
  <si>
    <t>LIC. FACT. WEB</t>
  </si>
  <si>
    <t>Monedas</t>
  </si>
  <si>
    <t>COM. EN MP</t>
  </si>
  <si>
    <t>COM. EN BANCO</t>
  </si>
  <si>
    <t>BALANCE EFECTIVO</t>
  </si>
  <si>
    <t>COM. POSNET</t>
  </si>
  <si>
    <t>POSNET</t>
  </si>
  <si>
    <t>Otros Gastos</t>
  </si>
  <si>
    <t>Saldo</t>
  </si>
  <si>
    <t>PEDIDOS YA</t>
  </si>
  <si>
    <t>INSUMOS</t>
  </si>
  <si>
    <t>SUELDOS</t>
  </si>
  <si>
    <t>UTIL PROM</t>
  </si>
  <si>
    <t>EQ. DIA</t>
  </si>
  <si>
    <t>BALANCE BANCO</t>
  </si>
  <si>
    <t>Inetereses</t>
  </si>
  <si>
    <t>DISPONIBLE</t>
  </si>
  <si>
    <t>A LIQUIDAR</t>
  </si>
  <si>
    <t>BALANCE MERCADOPAGO</t>
  </si>
  <si>
    <t>Liq Mes Ant</t>
  </si>
  <si>
    <t>Por liquidar</t>
  </si>
  <si>
    <t>REP</t>
  </si>
  <si>
    <t>BALANCE CUENTAS POR PAGAR</t>
  </si>
  <si>
    <t>CARGOS</t>
  </si>
  <si>
    <t>ABONOS</t>
  </si>
  <si>
    <t>Prestamos</t>
  </si>
  <si>
    <t>Banco</t>
  </si>
  <si>
    <t>PAGO FACTURA CARREFOUR A CREDITO CON 15% DE DCTO</t>
  </si>
  <si>
    <t>EFECTIVO (CAJA)</t>
  </si>
  <si>
    <t>TARJETA (BANCO SANTANDER)</t>
  </si>
  <si>
    <t>MERCADOPAGO (BANCO MP)</t>
  </si>
  <si>
    <t>Venta Total</t>
  </si>
  <si>
    <t>Declarado</t>
  </si>
  <si>
    <t>Venta Promedio</t>
  </si>
  <si>
    <t>Fecha</t>
  </si>
  <si>
    <t>Venta Día</t>
  </si>
  <si>
    <t>Venta Declarada</t>
  </si>
  <si>
    <t>Aporte</t>
  </si>
  <si>
    <t>Descuentos</t>
  </si>
  <si>
    <t>Recargos</t>
  </si>
  <si>
    <t>Efect</t>
  </si>
  <si>
    <t>Ingresos</t>
  </si>
  <si>
    <t>Retiros</t>
  </si>
  <si>
    <t>NC</t>
  </si>
  <si>
    <t>Arqueo</t>
  </si>
  <si>
    <t>Recuento</t>
  </si>
  <si>
    <t>Dif. Efect</t>
  </si>
  <si>
    <t>Tar</t>
  </si>
  <si>
    <t>Declar.  Tarj</t>
  </si>
  <si>
    <t>Dif. Tarj</t>
  </si>
  <si>
    <t>Delcar. MP</t>
  </si>
  <si>
    <t>Dif. MP</t>
  </si>
  <si>
    <t>martes</t>
  </si>
  <si>
    <t>miércoles</t>
  </si>
  <si>
    <t>jueves</t>
  </si>
  <si>
    <t>viernes</t>
  </si>
  <si>
    <t>sábado</t>
  </si>
  <si>
    <t>domingo</t>
  </si>
  <si>
    <t>lunes</t>
  </si>
  <si>
    <t>EQUIL</t>
  </si>
  <si>
    <t>VENTA</t>
  </si>
  <si>
    <t>DECLAR</t>
  </si>
  <si>
    <t>DIF</t>
  </si>
  <si>
    <t>PROM. H</t>
  </si>
  <si>
    <t>PROM. R</t>
  </si>
  <si>
    <t>COMPRAS DE MERCANCIA AÑO 2022</t>
  </si>
  <si>
    <t>FECHA 
COMPRA</t>
  </si>
  <si>
    <t>PROVEEDOR</t>
  </si>
  <si>
    <t>TIPO 
FACTURA</t>
  </si>
  <si>
    <t>N° FACTURA</t>
  </si>
  <si>
    <t>TARJETA</t>
  </si>
  <si>
    <t>MERCADOPAGO</t>
  </si>
  <si>
    <t>CRÉDITO</t>
  </si>
  <si>
    <t>TOTAL</t>
  </si>
  <si>
    <t>FISCALIZADO</t>
  </si>
  <si>
    <t>YAGUAR</t>
  </si>
  <si>
    <t>B</t>
  </si>
  <si>
    <t>OSLÉ</t>
  </si>
  <si>
    <t>A</t>
  </si>
  <si>
    <t>LAS VEGAS</t>
  </si>
  <si>
    <t>X</t>
  </si>
  <si>
    <t>S/N</t>
  </si>
  <si>
    <t>BANYLAC</t>
  </si>
  <si>
    <t>C</t>
  </si>
  <si>
    <t>MERCADO CONCENTRADOR</t>
  </si>
  <si>
    <t>CIGARRILLOS</t>
  </si>
  <si>
    <t>TODO MADERAS</t>
  </si>
  <si>
    <t>x</t>
  </si>
  <si>
    <t>GENERICO</t>
  </si>
  <si>
    <t>GOLOMAX</t>
  </si>
  <si>
    <t>LADIAR</t>
  </si>
  <si>
    <t>205-9792</t>
  </si>
  <si>
    <t>RECARGAS MERCADOPAGO (CELULARES - SUBE)</t>
  </si>
  <si>
    <t>AÑO 2022</t>
  </si>
  <si>
    <t>DOM</t>
  </si>
  <si>
    <t>COMPRA DE INSUMOS AÑO 2022</t>
  </si>
  <si>
    <t>REF. COMP</t>
  </si>
  <si>
    <t>PLUMERO</t>
  </si>
  <si>
    <t>DESCONOCIDO</t>
  </si>
  <si>
    <t>BIBLORATOS</t>
  </si>
  <si>
    <t>RIVAS ANDREA</t>
  </si>
  <si>
    <t>ALFOMBRA</t>
  </si>
  <si>
    <t>CHINOS</t>
  </si>
  <si>
    <t>CUTTER</t>
  </si>
  <si>
    <t>FERREMAX</t>
  </si>
  <si>
    <t>PIZARRON</t>
  </si>
  <si>
    <t>SAN FERNANDO</t>
  </si>
  <si>
    <t>ETIQUETAS LOGO</t>
  </si>
  <si>
    <t>SERVICIOS GRÁFICOS</t>
  </si>
  <si>
    <t>1-27673</t>
  </si>
  <si>
    <t>ART. LIBRERIA</t>
  </si>
  <si>
    <t>LIN FIBIN</t>
  </si>
  <si>
    <t>PAPELERA</t>
  </si>
  <si>
    <t>PAPELERA L&amp;J</t>
  </si>
  <si>
    <t>DISTRIBUIDORA ACUARELA</t>
  </si>
  <si>
    <t>ORLANDO</t>
  </si>
  <si>
    <t>PANEL RANURADO</t>
  </si>
  <si>
    <t>BIAGETTI</t>
  </si>
  <si>
    <t>CINTA SCOTCH</t>
  </si>
  <si>
    <t>MARAVILLAS</t>
  </si>
  <si>
    <t>1-440474</t>
  </si>
  <si>
    <t>ART PERFUMERIA</t>
  </si>
  <si>
    <t>EL LUCERO</t>
  </si>
  <si>
    <t>SOPORTE BICICLETERO</t>
  </si>
  <si>
    <t>ZAPATILLA</t>
  </si>
  <si>
    <t>1-130664</t>
  </si>
  <si>
    <t>FOLEX 20x25</t>
  </si>
  <si>
    <t>PAPELERA WALTER</t>
  </si>
  <si>
    <t>1-121738</t>
  </si>
  <si>
    <t>BOLSAS PAPELERA</t>
  </si>
  <si>
    <t>BOLSAS CAMISETA</t>
  </si>
  <si>
    <t>WALTER</t>
  </si>
  <si>
    <t>1-122266</t>
  </si>
  <si>
    <t>1-123690</t>
  </si>
  <si>
    <t>TONER</t>
  </si>
  <si>
    <t>MERCADOLIBRE</t>
  </si>
  <si>
    <t>HILO PABILO</t>
  </si>
  <si>
    <t>LIN FUBIN</t>
  </si>
  <si>
    <t>TUPPERS</t>
  </si>
  <si>
    <t>COLOMBRARO</t>
  </si>
  <si>
    <t>BOLSAS Y PAPEL</t>
  </si>
  <si>
    <t>1-127018</t>
  </si>
  <si>
    <t>CUOTA 1-3 TONER</t>
  </si>
  <si>
    <t>BOLSAS Y BANDEJAS</t>
  </si>
  <si>
    <t>1-129130</t>
  </si>
  <si>
    <t>PAPEL DIARIO</t>
  </si>
  <si>
    <t>1-129145</t>
  </si>
  <si>
    <t>PAPEL CONTACT</t>
  </si>
  <si>
    <t>ACEITE REBANADORA</t>
  </si>
  <si>
    <t xml:space="preserve">BOLSAS  </t>
  </si>
  <si>
    <t>1-30603</t>
  </si>
  <si>
    <t>GANCHOS PANEL RANURADO</t>
  </si>
  <si>
    <t>CUOTA 2-3 TONER</t>
  </si>
  <si>
    <t>BOLSAS, VASOS Y CUCHARITAS</t>
  </si>
  <si>
    <t>IMPRESIONES</t>
  </si>
  <si>
    <t>ISLA TORTUGA</t>
  </si>
  <si>
    <t>EL TIO</t>
  </si>
  <si>
    <t>GUANTES, BOLSAS</t>
  </si>
  <si>
    <t>1-135033</t>
  </si>
  <si>
    <t>REPUESTOS EXACTO</t>
  </si>
  <si>
    <t>ENVASES PLASTICOS</t>
  </si>
  <si>
    <t>TODO BARATO</t>
  </si>
  <si>
    <t>CUOTA 3-3 TONER</t>
  </si>
  <si>
    <t>CESTAS RATAN</t>
  </si>
  <si>
    <t>SORBETES, FILM Y FOLEX</t>
  </si>
  <si>
    <t>BOLSAS Y ROLLOS</t>
  </si>
  <si>
    <t>1-138602</t>
  </si>
  <si>
    <t>PAPEL - FOLEX</t>
  </si>
  <si>
    <t>ROLLOS BALANZA</t>
  </si>
  <si>
    <t>1-141481</t>
  </si>
  <si>
    <t>1-144055</t>
  </si>
  <si>
    <t>BROCHES</t>
  </si>
  <si>
    <t>PAPEL Y BOLSAS</t>
  </si>
  <si>
    <t>1-144554</t>
  </si>
  <si>
    <t>COLA BLANCA Y CINTA SCOTCH</t>
  </si>
  <si>
    <t>BAZAR LUCAS</t>
  </si>
  <si>
    <t>REPUESTO MPA</t>
  </si>
  <si>
    <t>CALLE</t>
  </si>
  <si>
    <t>BOLSAS</t>
  </si>
  <si>
    <t>1-145614</t>
  </si>
  <si>
    <t>1-145781</t>
  </si>
  <si>
    <t>AMBULANTE</t>
  </si>
  <si>
    <t>1-148106</t>
  </si>
  <si>
    <t>BOLSAS Y CAJAS</t>
  </si>
  <si>
    <t>1-149773</t>
  </si>
  <si>
    <t>FRENTE</t>
  </si>
  <si>
    <t>CALENDARIOS</t>
  </si>
  <si>
    <t>JORGE GRÁFICA</t>
  </si>
  <si>
    <t>AFILADA</t>
  </si>
  <si>
    <t>MARIO MARCELO</t>
  </si>
  <si>
    <t>8-731</t>
  </si>
  <si>
    <t>8-736</t>
  </si>
  <si>
    <t>ART LIMPIEZA</t>
  </si>
  <si>
    <t>MORICHE</t>
  </si>
  <si>
    <t>VARIOS</t>
  </si>
  <si>
    <t>1-152777</t>
  </si>
  <si>
    <t>BROCHA</t>
  </si>
  <si>
    <t>DETERGENTE</t>
  </si>
  <si>
    <t>LUCERO</t>
  </si>
  <si>
    <t>ART. DE OFICINA</t>
  </si>
  <si>
    <t>1-155679</t>
  </si>
  <si>
    <t>PAGO 1/3 TONER</t>
  </si>
  <si>
    <t>PORTA PRECIOS</t>
  </si>
  <si>
    <t>BOMBILLOS</t>
  </si>
  <si>
    <t>DEVOLUC PORTA PRECIOS</t>
  </si>
  <si>
    <t>PLASTIFICADOS</t>
  </si>
  <si>
    <t>SAN MIGUEL COPIAS</t>
  </si>
  <si>
    <t>SR. CINTA</t>
  </si>
  <si>
    <t>PAGO DE SERVICIOS, IMPUESTOS Y COMISIONES AÑO 2022</t>
  </si>
  <si>
    <t>FECHA</t>
  </si>
  <si>
    <t>COMPROBANTE</t>
  </si>
  <si>
    <t>SALDO PRES.</t>
  </si>
  <si>
    <t>MAYO (25/4 - 24/5)</t>
  </si>
  <si>
    <t>2/2 BIM 1</t>
  </si>
  <si>
    <t>SEGURIDAD Y AMBIENTE</t>
  </si>
  <si>
    <t>PUBLICIDAD Y PROPAGANDA</t>
  </si>
  <si>
    <t>LICENCIA FACTURACIÓN WEB</t>
  </si>
  <si>
    <t>RENOVACIÓN ALQUILER</t>
  </si>
  <si>
    <t>23-303513</t>
  </si>
  <si>
    <t>COMISIONES E IMP. EN MERCADO PAGO</t>
  </si>
  <si>
    <t>31/4/2022</t>
  </si>
  <si>
    <t>COMISIONES E IMP. EN BANCO</t>
  </si>
  <si>
    <t>COMISIONES E IMP. EN POSNET</t>
  </si>
  <si>
    <t>JUNIO (25/5 - 24/6)</t>
  </si>
  <si>
    <t>SE PAGO. EFECT. A FARRERA A.</t>
  </si>
  <si>
    <t>SE PAGO. EFECT. A ALVAREZ L.</t>
  </si>
  <si>
    <t>23414684683
23416229365</t>
  </si>
  <si>
    <t>23-383510</t>
  </si>
  <si>
    <t>6-9409369</t>
  </si>
  <si>
    <t>JULIO (24/6 - 25/7)</t>
  </si>
  <si>
    <t>23835619273</t>
  </si>
  <si>
    <t>23778782926</t>
  </si>
  <si>
    <t>24048618518</t>
  </si>
  <si>
    <t>24047439475</t>
  </si>
  <si>
    <t>24864609950</t>
  </si>
  <si>
    <t>24768833467</t>
  </si>
  <si>
    <t>25057767946</t>
  </si>
  <si>
    <t>25058018732</t>
  </si>
  <si>
    <t>25138441318</t>
  </si>
  <si>
    <t>6-9642054</t>
  </si>
  <si>
    <t>25676272083</t>
  </si>
  <si>
    <t>25676210301</t>
  </si>
  <si>
    <t>25807539499</t>
  </si>
  <si>
    <t>25807669308</t>
  </si>
  <si>
    <t>25987236656</t>
  </si>
  <si>
    <t>23-603588</t>
  </si>
  <si>
    <t>6-9758608</t>
  </si>
  <si>
    <t>50432333274</t>
  </si>
  <si>
    <t>50446172264</t>
  </si>
  <si>
    <t>50672231437</t>
  </si>
  <si>
    <t>50760528177</t>
  </si>
  <si>
    <t>50851628582</t>
  </si>
  <si>
    <t>50758100844</t>
  </si>
  <si>
    <t>6-9876232</t>
  </si>
  <si>
    <t>51364856760</t>
  </si>
  <si>
    <t>111799929</t>
  </si>
  <si>
    <t>51554109155</t>
  </si>
  <si>
    <t>51554214394</t>
  </si>
  <si>
    <t>11160896</t>
  </si>
  <si>
    <t>51804768237</t>
  </si>
  <si>
    <t>6-9992364</t>
  </si>
  <si>
    <t>6-10363732</t>
  </si>
  <si>
    <t>ADM RECARGAS</t>
  </si>
  <si>
    <t>23-871606</t>
  </si>
  <si>
    <t>6-10239743</t>
  </si>
  <si>
    <t>BBVA</t>
  </si>
  <si>
    <t>COMENTARIOS</t>
  </si>
  <si>
    <t>COMPRA USD</t>
  </si>
  <si>
    <t>GASTOS NO PREVISTOS JUNIO 2022</t>
  </si>
  <si>
    <t>INGRESOS NO PREVISTOS JUNIO 2022</t>
  </si>
  <si>
    <t>FECHA 
PAGO</t>
  </si>
  <si>
    <t>PRESTAMO EF</t>
  </si>
  <si>
    <t>VIDRIOS CAJA Y ORIFICIOS</t>
  </si>
  <si>
    <t>DEVOLUCIONES EN VENTAS</t>
  </si>
  <si>
    <t>TRANSFERENCIA MP A CAJA
(PAGO CEL ALEXANDER)</t>
  </si>
  <si>
    <t>REPARACION VIDRIO CAJA</t>
  </si>
  <si>
    <t>TRANSFERENCIA DE BANCO A MP</t>
  </si>
  <si>
    <t>TRANFERENCIA BANCO A MP</t>
  </si>
  <si>
    <t>TRANSFERENCIA MP A CAJA
(RECARGA CEL ORLANDO)</t>
  </si>
  <si>
    <t>TRANSFERENCIA BANCO A MP</t>
  </si>
  <si>
    <t>PREMIO POR OBJETIVO 
DE VENTAS MERCADOPAGO</t>
  </si>
  <si>
    <t>TRANSFERENCIA MP A CAJA
(A ALEXANDER FARRERA)</t>
  </si>
  <si>
    <t>TRANSFERENCIA BANCO A CAJA
(A ALEXANDER FARRERA)</t>
  </si>
  <si>
    <t>APORTE CAPITAL 
(PRESTAMO BANCARIO)</t>
  </si>
  <si>
    <t>INCLUSION HABILITACION LICORES</t>
  </si>
  <si>
    <t>APORTE CAPITAL 
(USD 500,00 @ 338)</t>
  </si>
  <si>
    <t>TRANSFERENCIA MP A CAJA
(A DIEGO FARRERA)</t>
  </si>
  <si>
    <t>FLETES EN COMPRAS</t>
  </si>
  <si>
    <t>DEVOLUCIONES EN COMPRAS</t>
  </si>
  <si>
    <t xml:space="preserve">HELADERA EXHIBIDORA </t>
  </si>
  <si>
    <t>PAGO EDENOR ORLANDO DUMONT</t>
  </si>
  <si>
    <t xml:space="preserve">PARANTE GONDOLA </t>
  </si>
  <si>
    <t>RECARGA SUBE MARTHA SANCHEZ</t>
  </si>
  <si>
    <t>REJILLAS HELADERA</t>
  </si>
  <si>
    <t>ESTANTE DE PINO EXHIBIDOR</t>
  </si>
  <si>
    <t>REINTEGRO PAGO EDENOR JULIO</t>
  </si>
  <si>
    <t>TRANSFERENCIA MP A CAJA</t>
  </si>
  <si>
    <t>COMPRA HUB USB</t>
  </si>
  <si>
    <t>TRANSFERENCIA DE ALEXANDER FARRERA</t>
  </si>
  <si>
    <t>BOMBEROS</t>
  </si>
  <si>
    <t>TRANSFERENCIA EFECTIVO A MP</t>
  </si>
  <si>
    <t>DEVOLUCION POR PAGO DUPLICADO</t>
  </si>
  <si>
    <t>ESTANTERIA METALICA</t>
  </si>
  <si>
    <t>ORGANIZADOR 5 NIVELES</t>
  </si>
  <si>
    <t>BIBLIOTECA CUBO ALTA</t>
  </si>
  <si>
    <t>PAGO PEDIDOS YA</t>
  </si>
  <si>
    <t>ADAPTACIÓN DESAGUE ALMACENERA</t>
  </si>
  <si>
    <t>CALCOMANIA NAVIDAD</t>
  </si>
  <si>
    <t>DISPOSITIVO SUBE</t>
  </si>
  <si>
    <t>RECARGA MATAFUEGOS</t>
  </si>
  <si>
    <t>PRESTAMO ALEXANDER</t>
  </si>
  <si>
    <t>TRANSFERENCIA MP A BANCO</t>
  </si>
  <si>
    <t>TRANSFERENCIA SANTANDER A EFECTIVO</t>
  </si>
  <si>
    <t>TRANSFERENCIA MP A EFECTIVO</t>
  </si>
  <si>
    <t>ABONO PRESTAMO ALEXANDER</t>
  </si>
  <si>
    <t>TRANSSFERENCIA MP A EFECTIVO</t>
  </si>
  <si>
    <t>SUELDOS MES ABRIL (25/3 - 24/4) SE PAGA EL 05/05</t>
  </si>
  <si>
    <t>EMPLEADO</t>
  </si>
  <si>
    <t>HORAS</t>
  </si>
  <si>
    <t>H. EXTRA</t>
  </si>
  <si>
    <t>PREC. HORA</t>
  </si>
  <si>
    <t>SUELDO BÁSICO</t>
  </si>
  <si>
    <t>ADICIONALES</t>
  </si>
  <si>
    <t>DEDUCCIONES</t>
  </si>
  <si>
    <t>TOTAL ABONADO</t>
  </si>
  <si>
    <t>LUISA ÁLVAREZ</t>
  </si>
  <si>
    <t>MARTHA SÁNCHEZ</t>
  </si>
  <si>
    <t>DIEGO FARRERA</t>
  </si>
  <si>
    <t>SUELDOS MES MAYO (25/4 - 24/5) SE PAGA EL 05/06</t>
  </si>
  <si>
    <t>1/6/2022
22/6/2022</t>
  </si>
  <si>
    <t>22807572988
23383523117</t>
  </si>
  <si>
    <t>SUELDOS JUNIO (25/5 - 24/6) SE PAGA EL 05/07</t>
  </si>
  <si>
    <t>SAC</t>
  </si>
  <si>
    <t>SUELDOS MES JULIO (25/6 - 24/7) SE PAGA EL 05/08</t>
  </si>
  <si>
    <t>9/8/2022
22/8/2022</t>
  </si>
  <si>
    <t>24743530184
25097215682</t>
  </si>
  <si>
    <t>SUELDOS MES AGOSTO (25/7 - 24/8) SE PAGA EL 05/09</t>
  </si>
  <si>
    <t>12/9/2022
20/9/2022
5/9/2022</t>
  </si>
  <si>
    <t>25725604976
  25965227065
 25499793466</t>
  </si>
  <si>
    <t>20/9/2022
5/9/2022</t>
  </si>
  <si>
    <t>SUELDOS MES SEPTIEMBRE (25/8 - 24/9) SE PAGA EL 05/10</t>
  </si>
  <si>
    <t>6/10/2022
6/10/2022
19/10/2022</t>
  </si>
  <si>
    <t>MP   50235415712
BS   66768016
BS   71418752</t>
  </si>
  <si>
    <t>MP  50312662361</t>
  </si>
  <si>
    <t>SUELDOS MES OCTUBRE (25/9 - 24/10) SE PAGA EL 05/11</t>
  </si>
  <si>
    <t>SUELDOS MES NOVIEMBRE (25/10 - 24/11) SE PAGA EL 05/12</t>
  </si>
  <si>
    <t>5/12/2022
5/12/2022
5/12/2022</t>
  </si>
  <si>
    <t>52240263265
52227342029
20365287</t>
  </si>
  <si>
    <t>1/12/2022
15/12/2022</t>
  </si>
  <si>
    <t>52604233367
52102673075</t>
  </si>
  <si>
    <t>SUELDOS MES DICIEMBRE (25/11 - 24/12) SE PAGA EL 05/01</t>
  </si>
  <si>
    <t>SUELDOS MES ENERO (25/12 - 24/01) SE PAGA EL 05/02</t>
  </si>
  <si>
    <t>21/1/2023
9/02/2023
9/02/2023</t>
  </si>
  <si>
    <t>54525075390
54524467958</t>
  </si>
  <si>
    <t>SUELDOS MES FEBRERO (25/01 - 24/02) SE PAGA EL 05/03</t>
  </si>
  <si>
    <t>MARGORIS SANCHEZ</t>
  </si>
  <si>
    <t>SUELDOS MES MARZO (25/02 - 24/03) SE PAGA EL 05/04</t>
  </si>
  <si>
    <t>PRESUPUESTO DE GASTOS</t>
  </si>
  <si>
    <t>UTILIDAD PROMEDIO</t>
  </si>
  <si>
    <t>INICIAL</t>
  </si>
  <si>
    <t>COMISIONES EN MERCADO PAGO</t>
  </si>
  <si>
    <t>COMISIONES EN BANCO</t>
  </si>
  <si>
    <t>COMISIONES POSNET</t>
  </si>
  <si>
    <t>EQ. DIARIO</t>
  </si>
  <si>
    <t>SERV. DIARIO</t>
  </si>
  <si>
    <t>PUESTOS</t>
  </si>
  <si>
    <t>BASICO</t>
  </si>
  <si>
    <t>AJUSTE 1</t>
  </si>
  <si>
    <t>AJUSTE 2</t>
  </si>
  <si>
    <t>AJUSTE 3</t>
  </si>
  <si>
    <t>PRES. 01</t>
  </si>
  <si>
    <t>ADMINISTRATIVO A</t>
  </si>
  <si>
    <t>AUXILIAR A</t>
  </si>
  <si>
    <t>CAJERO A</t>
  </si>
  <si>
    <t>PRES. 02</t>
  </si>
  <si>
    <t>INVENTARIO INICIAL</t>
  </si>
  <si>
    <t>NETO GRAVADO</t>
  </si>
  <si>
    <t>% IVA</t>
  </si>
  <si>
    <t>IVA</t>
  </si>
  <si>
    <t>OTROS 
IMPUESTOS</t>
  </si>
  <si>
    <t>MONTO</t>
  </si>
  <si>
    <t>FORMA PAGO</t>
  </si>
  <si>
    <t>RAZ&amp;CIA</t>
  </si>
  <si>
    <t>60-34738</t>
  </si>
  <si>
    <t>E</t>
  </si>
  <si>
    <t>309-301731</t>
  </si>
  <si>
    <t>309-8501</t>
  </si>
  <si>
    <t>309-301728</t>
  </si>
  <si>
    <t>MERC. CONCENT.</t>
  </si>
  <si>
    <t>305-2330</t>
  </si>
  <si>
    <t>ALEJANDRO</t>
  </si>
  <si>
    <t>HUEVOS</t>
  </si>
  <si>
    <t>FIAMBRES</t>
  </si>
  <si>
    <t>6-50864</t>
  </si>
  <si>
    <t>1-108134</t>
  </si>
  <si>
    <t>1-108148</t>
  </si>
  <si>
    <t>COMPRA MERCANCIA</t>
  </si>
  <si>
    <t>3-362326</t>
  </si>
  <si>
    <t>REFRESCO</t>
  </si>
  <si>
    <t>3-362151</t>
  </si>
  <si>
    <t>AVICOLA SANDINO</t>
  </si>
  <si>
    <t>EL PROGRESO</t>
  </si>
  <si>
    <t>309-303825</t>
  </si>
  <si>
    <t>4-36</t>
  </si>
  <si>
    <t>309-304401</t>
  </si>
  <si>
    <t>NO INF</t>
  </si>
  <si>
    <t>SANDINO</t>
  </si>
  <si>
    <t>1-108859</t>
  </si>
  <si>
    <t>309-11267</t>
  </si>
  <si>
    <t>301-21413</t>
  </si>
  <si>
    <t>301-3956</t>
  </si>
  <si>
    <t>CONSTRUCTORA MODELO SAC</t>
  </si>
  <si>
    <r>
      <rPr>
        <b/>
        <sz val="8"/>
        <color rgb="FFFF0000"/>
        <rFont val="Tahoma"/>
      </rPr>
      <t xml:space="preserve"> </t>
    </r>
    <r>
      <rPr>
        <b/>
        <sz val="8"/>
        <color rgb="FFFF0000"/>
        <rFont val="Tahoma"/>
      </rPr>
      <t>ESTADO DE GANANCIAS Y PERDIDAS</t>
    </r>
  </si>
  <si>
    <r>
      <rPr>
        <b/>
        <sz val="8"/>
        <color rgb="FFFF0000"/>
        <rFont val="Tahoma"/>
      </rPr>
      <t xml:space="preserve"> </t>
    </r>
    <r>
      <rPr>
        <b/>
        <sz val="8"/>
        <color rgb="FFFF0000"/>
        <rFont val="Tahoma"/>
      </rPr>
      <t>BALANCE GENERAL</t>
    </r>
  </si>
  <si>
    <t>Al 31 de Diciembre del 2010 y 2011</t>
  </si>
  <si>
    <t>(Expresado en Nuevos Soles)</t>
  </si>
  <si>
    <t>ACTIVO</t>
  </si>
  <si>
    <t>PASIVO Y PATRIMONIO</t>
  </si>
  <si>
    <t>VENTAS NETAS (ingresos Operacionales)</t>
  </si>
  <si>
    <t>ACTIVO CORRIENTE</t>
  </si>
  <si>
    <t>PASIVO CORRIENTE</t>
  </si>
  <si>
    <t>Otros Ingresos Operacionales</t>
  </si>
  <si>
    <t>Caja/Bancos</t>
  </si>
  <si>
    <t>Sobregiros Bancarios</t>
  </si>
  <si>
    <t>(-) Descuentos, rebajas y Bonificaciones concedidas</t>
  </si>
  <si>
    <t>Cuenta Corriente Santander</t>
  </si>
  <si>
    <t>Proveedores (Ctas x Pagar Comerciales)</t>
  </si>
  <si>
    <t>Caja de Ahorros Mercadopago</t>
  </si>
  <si>
    <t>Cuentas por Pagar a partes relacionadas</t>
  </si>
  <si>
    <t>(+) TOTAL INGRESOS</t>
  </si>
  <si>
    <t>Cuentas por Cobrar a partes relacionadas</t>
  </si>
  <si>
    <t>Tributos por Pagar</t>
  </si>
  <si>
    <t>Otras Cuentas por Cobrar</t>
  </si>
  <si>
    <t>Remuneraciones por pagar</t>
  </si>
  <si>
    <t>(-) INVENTARIO INICIAL</t>
  </si>
  <si>
    <t>Inventario</t>
  </si>
  <si>
    <t>Ctas. por pagar diversas</t>
  </si>
  <si>
    <t>(-) COMPRAS  (ó COSTO DE PRODUCCIÓN)</t>
  </si>
  <si>
    <t>Gastos Diferidos</t>
  </si>
  <si>
    <t>Otras Cuentas por Pagar</t>
  </si>
  <si>
    <t>(+) INVENTARIO FINAL</t>
  </si>
  <si>
    <t>Suministros Diversos</t>
  </si>
  <si>
    <t>Crédito Fiscal</t>
  </si>
  <si>
    <t>(-) COSTO DE VENTAS (Operacionales)</t>
  </si>
  <si>
    <t>Materias Primas</t>
  </si>
  <si>
    <t>Gastos Pagados por Anticipado</t>
  </si>
  <si>
    <t>UTILIDAD BRUTA</t>
  </si>
  <si>
    <t>Otros Activos</t>
  </si>
  <si>
    <t>TOT ACTIVO CORRIENTE</t>
  </si>
  <si>
    <t>TOTAL PASIVO CORRIENTE</t>
  </si>
  <si>
    <t>(-) GASTOS ADMINISTRATIVOS</t>
  </si>
  <si>
    <t>(-) GASTOS DE VENTAS</t>
  </si>
  <si>
    <t>ACTIVO NO CORRIENTE</t>
  </si>
  <si>
    <t>PASIVO NO CORRIENTE</t>
  </si>
  <si>
    <t>Deudas a Largo Plazo</t>
  </si>
  <si>
    <t>Inmuebles Maquinaria y Equipos (neto)</t>
  </si>
  <si>
    <t>Beneficios Sociales</t>
  </si>
  <si>
    <t>(-) Depreciacion y Amort. Acumul</t>
  </si>
  <si>
    <t>Ganancias Diferidas</t>
  </si>
  <si>
    <t>Activos Intangibles (neto)</t>
  </si>
  <si>
    <t>Compensación por Tiempo de Servicio (CTS)</t>
  </si>
  <si>
    <t>UTILIDAD OPERATIVA</t>
  </si>
  <si>
    <t>(-) GASTOS FINANCIEROS</t>
  </si>
  <si>
    <t>TOT ACTIVO NO CORRIEN</t>
  </si>
  <si>
    <t>TOTAL PASIVO  NO CORRIENTE</t>
  </si>
  <si>
    <t>(-) DEPRECIACION</t>
  </si>
  <si>
    <t>(+) OTROS INGRESOS</t>
  </si>
  <si>
    <t>PATRIMONIO</t>
  </si>
  <si>
    <t>(-) OTROS EGRESOS (Gastos Diversos)</t>
  </si>
  <si>
    <t>Capital Social</t>
  </si>
  <si>
    <t>(+) INGRESOS FINANCIEROS</t>
  </si>
  <si>
    <t>Capital adicional</t>
  </si>
  <si>
    <t>Utilidad (o Perdida) Neta Antes de IR</t>
  </si>
  <si>
    <t>Resultados Acumulados</t>
  </si>
  <si>
    <t>Resultados del Periodo</t>
  </si>
  <si>
    <t xml:space="preserve">(-) Impuesto a la Renta (30%) </t>
  </si>
  <si>
    <t>Reservas Legales</t>
  </si>
  <si>
    <t>TOTAL PATRIMONIO</t>
  </si>
  <si>
    <t>UTILIDAD (o perdida) NETA</t>
  </si>
  <si>
    <t>TOTAL ACTIVO</t>
  </si>
  <si>
    <t>TOTAL PASIVO Y PATRIMONIO</t>
  </si>
  <si>
    <t>Firma del Contador de la empresa</t>
  </si>
  <si>
    <t>Firma del representante legal  de la empresa</t>
  </si>
  <si>
    <t>Firma del representante legal de la empresa</t>
  </si>
  <si>
    <t>Total Ingresos</t>
  </si>
  <si>
    <t>COSTO DE VENTAS</t>
  </si>
  <si>
    <t>Gastos de Compras</t>
  </si>
  <si>
    <t>Costo de compras Bruto</t>
  </si>
  <si>
    <t>Devoluciones en compras</t>
  </si>
  <si>
    <t>Costo de Compras Neto</t>
  </si>
  <si>
    <t>Inventario Inicial de Mercancía</t>
  </si>
  <si>
    <t>Mercancía disponible para la venta</t>
  </si>
  <si>
    <t>Inventario final de mercancía</t>
  </si>
  <si>
    <t>Costo de Ventas</t>
  </si>
  <si>
    <t>Ganancia Bruta en Ventas</t>
  </si>
  <si>
    <t>GASTOS DE OPERACIONES</t>
  </si>
  <si>
    <t>GASTOS DE ADMINISTRACIÓN</t>
  </si>
  <si>
    <t>Sueldos y Salarios</t>
  </si>
  <si>
    <t>Servicios, impuestos y comisiones</t>
  </si>
  <si>
    <t>GATOS DE VENTAS</t>
  </si>
  <si>
    <t>Comisiones sobre ventas</t>
  </si>
  <si>
    <t>Publicidad</t>
  </si>
  <si>
    <t>Depreciación de equipos</t>
  </si>
  <si>
    <t>Gasto Total de Operaciones</t>
  </si>
  <si>
    <t>Ganancia en Operaciones</t>
  </si>
  <si>
    <t>OTROS INGRESOS Y EGRESOS</t>
  </si>
  <si>
    <t>OTROS INGRESOS</t>
  </si>
  <si>
    <t>Intereses Ganados</t>
  </si>
  <si>
    <t>Comisiones Ganadas</t>
  </si>
  <si>
    <t>OTROS EGRESOS</t>
  </si>
  <si>
    <t>Intereses por mora</t>
  </si>
  <si>
    <t>Total Otros Ingresos y Egresos</t>
  </si>
  <si>
    <t>Ganancia Neta del Ejercicio</t>
  </si>
  <si>
    <t>SERVICIO</t>
  </si>
  <si>
    <t>JCP SEGURIDAD Y AMBIENTE</t>
  </si>
  <si>
    <t>JCP PUBLICIDAD Y PROPAGANDA</t>
  </si>
  <si>
    <t>TRIBUTO</t>
  </si>
  <si>
    <t>SISTEMA FACTURACION</t>
  </si>
  <si>
    <t xml:space="preserve">AMORT. ALQUILER </t>
  </si>
  <si>
    <t>AMORT. SUELDOS</t>
  </si>
  <si>
    <t xml:space="preserve">AMORT. TRIBUTO </t>
  </si>
  <si>
    <t>COMISONES</t>
  </si>
  <si>
    <t>COMISIONES</t>
  </si>
  <si>
    <t>LIQUIDACIONES DE SUELDOS</t>
  </si>
  <si>
    <t>VENTAS DIARIAS AÑO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</si>
</sst>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$&quot;* #,##0.00_-;_-&quot;$&quot;* \-#,##0.00_-;_-&quot;$&quot;* &quot;-&quot;??_-;_-@"/>
    <numFmt numFmtId="165" formatCode="&quot;$&quot;#,##0.00"/>
    <numFmt numFmtId="166" formatCode="m\-yyyy"/>
    <numFmt numFmtId="167" formatCode="#,##0.0"/>
    <numFmt numFmtId="168" formatCode="d/m/yy"/>
    <numFmt numFmtId="169" formatCode="d/m"/>
    <numFmt numFmtId="170" formatCode="dd/mm"/>
    <numFmt numFmtId="171" formatCode="dd/mm/yyyy"/>
  </numFmts>
  <fonts count="73">
    <font>
      <sz val="10"/>
      <color rgb="FF000000"/>
      <name val="Arial"/>
      <scheme val="minor"/>
    </font>
    <font>
      <b/>
      <sz val="14"/>
      <color theme="1"/>
      <name val="Arial"/>
    </font>
    <font>
      <sz val="14"/>
      <color theme="1"/>
      <name val="Arial"/>
      <scheme val="minor"/>
    </font>
    <font>
      <b/>
      <sz val="16"/>
      <color rgb="FFFFFFFF"/>
      <name val="Arial"/>
    </font>
    <font>
      <sz val="10"/>
      <name val="Arial"/>
    </font>
    <font>
      <b/>
      <sz val="9"/>
      <color rgb="FFFFFFFF"/>
      <name val="Arial"/>
    </font>
    <font>
      <sz val="9"/>
      <color theme="1"/>
      <name val="Arial"/>
      <scheme val="minor"/>
    </font>
    <font>
      <sz val="9"/>
      <color theme="1"/>
      <name val="Arial"/>
    </font>
    <font>
      <b/>
      <sz val="9"/>
      <color rgb="FF000000"/>
      <name val="Arial"/>
    </font>
    <font>
      <b/>
      <sz val="12"/>
      <color rgb="FFFFFFFF"/>
      <name val="Arial"/>
    </font>
    <font>
      <b/>
      <sz val="9"/>
      <color theme="1"/>
      <name val="Arial"/>
      <scheme val="minor"/>
    </font>
    <font>
      <b/>
      <sz val="9"/>
      <color theme="1"/>
      <name val="Arial"/>
    </font>
    <font>
      <sz val="9"/>
      <color rgb="FFFFFFFF"/>
      <name val="Arial"/>
    </font>
    <font>
      <sz val="10"/>
      <color theme="1"/>
      <name val="Arial"/>
      <scheme val="minor"/>
    </font>
    <font>
      <b/>
      <sz val="18"/>
      <color rgb="FFFFFFFF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rgb="FFFFFFFF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9"/>
      <color rgb="FF000000"/>
      <name val="Arial"/>
      <scheme val="minor"/>
    </font>
    <font>
      <b/>
      <sz val="11"/>
      <color rgb="FFFFFFFF"/>
      <name val="Arial"/>
    </font>
    <font>
      <b/>
      <sz val="11"/>
      <color rgb="FF000000"/>
      <name val="Arial"/>
    </font>
    <font>
      <b/>
      <sz val="11"/>
      <color rgb="FFFFFFFF"/>
      <name val="Arial"/>
      <scheme val="minor"/>
    </font>
    <font>
      <b/>
      <sz val="11"/>
      <color rgb="FF1C4587"/>
      <name val="Arial"/>
      <scheme val="minor"/>
    </font>
    <font>
      <b/>
      <sz val="10"/>
      <color rgb="FF000000"/>
      <name val="Arial"/>
    </font>
    <font>
      <sz val="8"/>
      <color theme="1"/>
      <name val="Arial"/>
      <scheme val="minor"/>
    </font>
    <font>
      <sz val="11"/>
      <color rgb="FF000000"/>
      <name val="Calibri"/>
    </font>
    <font>
      <sz val="12"/>
      <color rgb="FF000000"/>
      <name val="Calibri"/>
    </font>
    <font>
      <b/>
      <sz val="12"/>
      <color theme="1"/>
      <name val="Arial"/>
    </font>
    <font>
      <b/>
      <sz val="5"/>
      <color theme="1"/>
      <name val="Arial"/>
    </font>
    <font>
      <sz val="12"/>
      <color theme="1"/>
      <name val="Arial"/>
    </font>
    <font>
      <sz val="5"/>
      <color theme="1"/>
      <name val="Arial"/>
      <scheme val="minor"/>
    </font>
    <font>
      <b/>
      <sz val="12"/>
      <color rgb="FF000000"/>
      <name val="Arial"/>
    </font>
    <font>
      <b/>
      <sz val="12"/>
      <color theme="0"/>
      <name val="Arial"/>
    </font>
    <font>
      <sz val="10"/>
      <color theme="1"/>
      <name val="Arial"/>
    </font>
    <font>
      <b/>
      <sz val="12"/>
      <color theme="1"/>
      <name val="Arial"/>
      <scheme val="minor"/>
    </font>
    <font>
      <b/>
      <sz val="5"/>
      <color rgb="FFFFFFFF"/>
      <name val="Arial"/>
    </font>
    <font>
      <sz val="12"/>
      <color theme="1"/>
      <name val="Arial"/>
      <scheme val="minor"/>
    </font>
    <font>
      <sz val="12"/>
      <color rgb="FF000000"/>
      <name val="Arial"/>
    </font>
    <font>
      <b/>
      <sz val="12"/>
      <color rgb="FFFFFFFF"/>
      <name val="Arial"/>
      <scheme val="minor"/>
    </font>
    <font>
      <b/>
      <sz val="14"/>
      <color theme="1"/>
      <name val="Arial"/>
      <scheme val="minor"/>
    </font>
    <font>
      <b/>
      <sz val="10"/>
      <color theme="1"/>
      <name val="Arial"/>
      <scheme val="minor"/>
    </font>
    <font>
      <sz val="12"/>
      <color rgb="FFFFFFFF"/>
      <name val="Arial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sz val="10"/>
      <color rgb="FF000000"/>
      <name val="Arial"/>
    </font>
    <font>
      <sz val="11"/>
      <color rgb="FF000000"/>
      <name val="Arial"/>
      <scheme val="minor"/>
    </font>
    <font>
      <sz val="12"/>
      <color rgb="FF000000"/>
      <name val="&quot;Proxima Nova&quot;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sz val="11"/>
      <color rgb="FF000000"/>
      <name val="Arial"/>
    </font>
    <font>
      <b/>
      <sz val="10"/>
      <color rgb="FFFFFFFF"/>
      <name val="Arial"/>
      <scheme val="minor"/>
    </font>
    <font>
      <b/>
      <sz val="9"/>
      <color rgb="FFFFFFFF"/>
      <name val="Arial"/>
      <scheme val="minor"/>
    </font>
    <font>
      <i/>
      <sz val="10"/>
      <color theme="1"/>
      <name val="Arial"/>
    </font>
    <font>
      <b/>
      <sz val="8"/>
      <color rgb="FFFF0000"/>
      <name val="Tahoma"/>
    </font>
    <font>
      <sz val="8"/>
      <color theme="1"/>
      <name val="Arial"/>
    </font>
    <font>
      <i/>
      <sz val="8"/>
      <color theme="1"/>
      <name val="Arial"/>
    </font>
    <font>
      <sz val="8"/>
      <color theme="1"/>
      <name val="Tahoma"/>
    </font>
    <font>
      <b/>
      <sz val="8"/>
      <color theme="1"/>
      <name val="Tahoma"/>
    </font>
    <font>
      <b/>
      <sz val="8"/>
      <color theme="1"/>
      <name val="Arial"/>
    </font>
    <font>
      <b/>
      <i/>
      <sz val="8"/>
      <color theme="1"/>
      <name val="Arial"/>
    </font>
    <font>
      <sz val="8"/>
      <color rgb="FF0000FF"/>
      <name val="Tahoma"/>
    </font>
    <font>
      <sz val="8"/>
      <color rgb="FF0000FF"/>
      <name val="Arial"/>
    </font>
    <font>
      <b/>
      <u/>
      <sz val="8"/>
      <color theme="1"/>
      <name val="Tahoma"/>
    </font>
    <font>
      <b/>
      <u/>
      <sz val="8"/>
      <color theme="1"/>
      <name val="Tahoma"/>
    </font>
    <font>
      <i/>
      <sz val="8"/>
      <color rgb="FF0000FF"/>
      <name val="Arial"/>
    </font>
    <font>
      <b/>
      <u/>
      <sz val="8"/>
      <color theme="1"/>
      <name val="Tahoma"/>
    </font>
    <font>
      <b/>
      <u/>
      <sz val="8"/>
      <color theme="1"/>
      <name val="Tahoma"/>
    </font>
    <font>
      <b/>
      <sz val="12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1C232"/>
        <bgColor rgb="FFF1C232"/>
      </patternFill>
    </fill>
    <fill>
      <patternFill patternType="solid">
        <fgColor rgb="FF3D85C6"/>
        <bgColor rgb="FF3D85C6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38761D"/>
        <bgColor rgb="FF38761D"/>
      </patternFill>
    </fill>
    <fill>
      <patternFill patternType="solid">
        <fgColor rgb="FFFFE599"/>
        <bgColor rgb="FFFFE599"/>
      </patternFill>
    </fill>
    <fill>
      <patternFill patternType="solid">
        <fgColor rgb="FF073763"/>
        <bgColor rgb="FF073763"/>
      </patternFill>
    </fill>
    <fill>
      <patternFill patternType="solid">
        <fgColor rgb="FF999999"/>
        <bgColor rgb="FF999999"/>
      </patternFill>
    </fill>
    <fill>
      <patternFill patternType="solid">
        <fgColor rgb="FF9FC5E8"/>
        <bgColor rgb="FF9FC5E8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1C4587"/>
        <bgColor rgb="FF1C4587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7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FFFFFF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ck">
        <color rgb="FFFFFFFF"/>
      </left>
      <right/>
      <top/>
      <bottom/>
      <diagonal/>
    </border>
    <border>
      <left style="thick">
        <color rgb="FFF1C232"/>
      </left>
      <right/>
      <top style="thick">
        <color rgb="FFF1C232"/>
      </top>
      <bottom/>
      <diagonal/>
    </border>
    <border>
      <left/>
      <right/>
      <top style="thick">
        <color rgb="FFF1C232"/>
      </top>
      <bottom/>
      <diagonal/>
    </border>
    <border>
      <left style="thick">
        <color rgb="FF3C78D8"/>
      </left>
      <right/>
      <top style="thick">
        <color rgb="FF3C78D8"/>
      </top>
      <bottom/>
      <diagonal/>
    </border>
    <border>
      <left/>
      <right/>
      <top style="thick">
        <color rgb="FF3C78D8"/>
      </top>
      <bottom/>
      <diagonal/>
    </border>
    <border>
      <left/>
      <right style="thick">
        <color rgb="FF3C78D8"/>
      </right>
      <top style="thick">
        <color rgb="FF3C78D8"/>
      </top>
      <bottom/>
      <diagonal/>
    </border>
    <border>
      <left style="thick">
        <color rgb="FFF1C232"/>
      </left>
      <right/>
      <top/>
      <bottom/>
      <diagonal/>
    </border>
    <border>
      <left style="thick">
        <color rgb="FF3C78D8"/>
      </left>
      <right/>
      <top/>
      <bottom/>
      <diagonal/>
    </border>
    <border>
      <left/>
      <right style="thick">
        <color rgb="FF3C78D8"/>
      </right>
      <top/>
      <bottom/>
      <diagonal/>
    </border>
    <border>
      <left style="thick">
        <color rgb="FFF1C232"/>
      </left>
      <right/>
      <top/>
      <bottom style="thick">
        <color rgb="FFF1C232"/>
      </bottom>
      <diagonal/>
    </border>
    <border>
      <left/>
      <right/>
      <top/>
      <bottom style="thick">
        <color rgb="FFF1C232"/>
      </bottom>
      <diagonal/>
    </border>
    <border>
      <left/>
      <right/>
      <top/>
      <bottom style="thick">
        <color rgb="FFF1C232"/>
      </bottom>
      <diagonal/>
    </border>
    <border>
      <left style="thick">
        <color rgb="FF3C78D8"/>
      </left>
      <right/>
      <top/>
      <bottom style="thick">
        <color rgb="FF3C78D8"/>
      </bottom>
      <diagonal/>
    </border>
    <border>
      <left/>
      <right/>
      <top/>
      <bottom style="thick">
        <color rgb="FF3C78D8"/>
      </bottom>
      <diagonal/>
    </border>
    <border>
      <left/>
      <right style="thick">
        <color rgb="FF3C78D8"/>
      </right>
      <top/>
      <bottom style="thick">
        <color rgb="FF3C78D8"/>
      </bottom>
      <diagonal/>
    </border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20">
    <xf numFmtId="0" fontId="0" fillId="0" borderId="0" xfId="0"/>
    <xf numFmtId="49" fontId="1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4" fontId="2" fillId="0" borderId="0" xfId="0" applyNumberFormat="1" applyFont="1"/>
    <xf numFmtId="49" fontId="5" fillId="2" borderId="0" xfId="0" applyNumberFormat="1" applyFont="1" applyFill="1" applyAlignment="1">
      <alignment horizontal="center"/>
    </xf>
    <xf numFmtId="49" fontId="5" fillId="2" borderId="5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5" fillId="2" borderId="7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4" fontId="5" fillId="2" borderId="5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14" fontId="7" fillId="0" borderId="0" xfId="0" applyNumberFormat="1" applyFont="1"/>
    <xf numFmtId="4" fontId="6" fillId="0" borderId="0" xfId="0" applyNumberFormat="1" applyFont="1"/>
    <xf numFmtId="4" fontId="6" fillId="0" borderId="9" xfId="0" applyNumberFormat="1" applyFont="1" applyBorder="1"/>
    <xf numFmtId="4" fontId="6" fillId="0" borderId="10" xfId="0" applyNumberFormat="1" applyFont="1" applyBorder="1"/>
    <xf numFmtId="4" fontId="6" fillId="0" borderId="11" xfId="0" applyNumberFormat="1" applyFont="1" applyBorder="1"/>
    <xf numFmtId="4" fontId="6" fillId="0" borderId="12" xfId="0" applyNumberFormat="1" applyFont="1" applyBorder="1"/>
    <xf numFmtId="4" fontId="6" fillId="3" borderId="12" xfId="0" applyNumberFormat="1" applyFont="1" applyFill="1" applyBorder="1"/>
    <xf numFmtId="4" fontId="6" fillId="0" borderId="13" xfId="0" applyNumberFormat="1" applyFont="1" applyBorder="1"/>
    <xf numFmtId="4" fontId="6" fillId="4" borderId="0" xfId="0" applyNumberFormat="1" applyFont="1" applyFill="1"/>
    <xf numFmtId="4" fontId="6" fillId="5" borderId="0" xfId="0" applyNumberFormat="1" applyFont="1" applyFill="1"/>
    <xf numFmtId="4" fontId="6" fillId="0" borderId="14" xfId="0" applyNumberFormat="1" applyFont="1" applyBorder="1"/>
    <xf numFmtId="4" fontId="6" fillId="0" borderId="15" xfId="0" applyNumberFormat="1" applyFont="1" applyBorder="1"/>
    <xf numFmtId="4" fontId="6" fillId="3" borderId="0" xfId="0" applyNumberFormat="1" applyFont="1" applyFill="1"/>
    <xf numFmtId="4" fontId="6" fillId="0" borderId="16" xfId="0" applyNumberFormat="1" applyFont="1" applyBorder="1"/>
    <xf numFmtId="4" fontId="8" fillId="6" borderId="17" xfId="0" applyNumberFormat="1" applyFont="1" applyFill="1" applyBorder="1"/>
    <xf numFmtId="4" fontId="8" fillId="6" borderId="18" xfId="0" applyNumberFormat="1" applyFont="1" applyFill="1" applyBorder="1"/>
    <xf numFmtId="4" fontId="8" fillId="6" borderId="19" xfId="0" applyNumberFormat="1" applyFont="1" applyFill="1" applyBorder="1"/>
    <xf numFmtId="4" fontId="8" fillId="6" borderId="20" xfId="0" applyNumberFormat="1" applyFont="1" applyFill="1" applyBorder="1"/>
    <xf numFmtId="4" fontId="8" fillId="6" borderId="21" xfId="0" applyNumberFormat="1" applyFont="1" applyFill="1" applyBorder="1"/>
    <xf numFmtId="4" fontId="8" fillId="6" borderId="22" xfId="0" applyNumberFormat="1" applyFont="1" applyFill="1" applyBorder="1"/>
    <xf numFmtId="4" fontId="8" fillId="7" borderId="23" xfId="0" applyNumberFormat="1" applyFont="1" applyFill="1" applyBorder="1"/>
    <xf numFmtId="4" fontId="8" fillId="8" borderId="6" xfId="0" applyNumberFormat="1" applyFont="1" applyFill="1" applyBorder="1"/>
    <xf numFmtId="165" fontId="9" fillId="2" borderId="5" xfId="0" applyNumberFormat="1" applyFont="1" applyFill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164" fontId="11" fillId="3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3" borderId="0" xfId="0" applyNumberFormat="1" applyFont="1" applyFill="1" applyAlignment="1">
      <alignment horizontal="center"/>
    </xf>
    <xf numFmtId="4" fontId="10" fillId="0" borderId="0" xfId="0" applyNumberFormat="1" applyFont="1"/>
    <xf numFmtId="4" fontId="6" fillId="9" borderId="0" xfId="0" applyNumberFormat="1" applyFont="1" applyFill="1"/>
    <xf numFmtId="4" fontId="6" fillId="10" borderId="0" xfId="0" applyNumberFormat="1" applyFont="1" applyFill="1"/>
    <xf numFmtId="4" fontId="6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left"/>
    </xf>
    <xf numFmtId="164" fontId="8" fillId="11" borderId="0" xfId="0" applyNumberFormat="1" applyFont="1" applyFill="1"/>
    <xf numFmtId="164" fontId="8" fillId="3" borderId="0" xfId="0" applyNumberFormat="1" applyFont="1" applyFill="1"/>
    <xf numFmtId="165" fontId="8" fillId="3" borderId="0" xfId="0" applyNumberFormat="1" applyFont="1" applyFill="1" applyAlignment="1">
      <alignment horizontal="center"/>
    </xf>
    <xf numFmtId="165" fontId="8" fillId="11" borderId="0" xfId="0" applyNumberFormat="1" applyFont="1" applyFill="1" applyAlignment="1">
      <alignment horizontal="center"/>
    </xf>
    <xf numFmtId="0" fontId="13" fillId="0" borderId="0" xfId="0" applyFont="1"/>
    <xf numFmtId="4" fontId="13" fillId="0" borderId="0" xfId="0" applyNumberFormat="1" applyFont="1"/>
    <xf numFmtId="164" fontId="13" fillId="0" borderId="0" xfId="0" applyNumberFormat="1" applyFont="1"/>
    <xf numFmtId="14" fontId="13" fillId="0" borderId="0" xfId="0" applyNumberFormat="1" applyFont="1"/>
    <xf numFmtId="2" fontId="15" fillId="2" borderId="1" xfId="0" applyNumberFormat="1" applyFont="1" applyFill="1" applyBorder="1" applyAlignment="1">
      <alignment horizontal="center"/>
    </xf>
    <xf numFmtId="2" fontId="15" fillId="2" borderId="5" xfId="0" applyNumberFormat="1" applyFont="1" applyFill="1" applyBorder="1" applyAlignment="1">
      <alignment horizontal="center"/>
    </xf>
    <xf numFmtId="2" fontId="15" fillId="2" borderId="3" xfId="0" applyNumberFormat="1" applyFont="1" applyFill="1" applyBorder="1" applyAlignment="1">
      <alignment horizontal="center"/>
    </xf>
    <xf numFmtId="2" fontId="15" fillId="0" borderId="3" xfId="0" applyNumberFormat="1" applyFont="1" applyBorder="1" applyAlignment="1">
      <alignment horizontal="center"/>
    </xf>
    <xf numFmtId="0" fontId="16" fillId="0" borderId="0" xfId="0" applyFont="1"/>
    <xf numFmtId="1" fontId="15" fillId="3" borderId="3" xfId="0" applyNumberFormat="1" applyFont="1" applyFill="1" applyBorder="1" applyAlignment="1">
      <alignment horizontal="center"/>
    </xf>
    <xf numFmtId="1" fontId="17" fillId="0" borderId="0" xfId="0" applyNumberFormat="1" applyFont="1"/>
    <xf numFmtId="49" fontId="18" fillId="0" borderId="0" xfId="0" applyNumberFormat="1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19" fillId="0" borderId="0" xfId="0" applyFont="1"/>
    <xf numFmtId="4" fontId="19" fillId="0" borderId="0" xfId="0" applyNumberFormat="1" applyFont="1"/>
    <xf numFmtId="0" fontId="19" fillId="5" borderId="27" xfId="0" applyFont="1" applyFill="1" applyBorder="1"/>
    <xf numFmtId="164" fontId="19" fillId="5" borderId="28" xfId="0" applyNumberFormat="1" applyFont="1" applyFill="1" applyBorder="1"/>
    <xf numFmtId="0" fontId="20" fillId="0" borderId="0" xfId="0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4" fontId="19" fillId="5" borderId="28" xfId="0" applyNumberFormat="1" applyFont="1" applyFill="1" applyBorder="1"/>
    <xf numFmtId="0" fontId="21" fillId="3" borderId="0" xfId="0" applyFont="1" applyFill="1" applyAlignment="1">
      <alignment horizontal="center"/>
    </xf>
    <xf numFmtId="164" fontId="0" fillId="3" borderId="0" xfId="0" applyNumberFormat="1" applyFill="1"/>
    <xf numFmtId="4" fontId="20" fillId="12" borderId="0" xfId="0" applyNumberFormat="1" applyFont="1" applyFill="1" applyAlignment="1">
      <alignment horizontal="right"/>
    </xf>
    <xf numFmtId="0" fontId="20" fillId="12" borderId="0" xfId="0" applyFont="1" applyFill="1" applyAlignment="1">
      <alignment horizontal="right"/>
    </xf>
    <xf numFmtId="0" fontId="19" fillId="0" borderId="29" xfId="0" applyFont="1" applyBorder="1"/>
    <xf numFmtId="164" fontId="20" fillId="12" borderId="30" xfId="0" applyNumberFormat="1" applyFont="1" applyFill="1" applyBorder="1" applyAlignment="1">
      <alignment horizontal="right"/>
    </xf>
    <xf numFmtId="0" fontId="19" fillId="0" borderId="0" xfId="0" applyFont="1" applyAlignment="1">
      <alignment horizontal="right"/>
    </xf>
    <xf numFmtId="2" fontId="15" fillId="2" borderId="0" xfId="0" applyNumberFormat="1" applyFont="1" applyFill="1" applyAlignment="1">
      <alignment horizontal="right"/>
    </xf>
    <xf numFmtId="2" fontId="15" fillId="2" borderId="5" xfId="0" applyNumberFormat="1" applyFont="1" applyFill="1" applyBorder="1" applyAlignment="1">
      <alignment horizontal="right"/>
    </xf>
    <xf numFmtId="164" fontId="19" fillId="0" borderId="0" xfId="0" applyNumberFormat="1" applyFont="1"/>
    <xf numFmtId="0" fontId="13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164" fontId="13" fillId="0" borderId="0" xfId="0" applyNumberFormat="1" applyFont="1" applyAlignment="1">
      <alignment horizontal="right"/>
    </xf>
    <xf numFmtId="49" fontId="16" fillId="0" borderId="0" xfId="0" applyNumberFormat="1" applyFont="1" applyAlignment="1">
      <alignment horizontal="right"/>
    </xf>
    <xf numFmtId="164" fontId="19" fillId="0" borderId="0" xfId="0" applyNumberFormat="1" applyFont="1" applyAlignment="1">
      <alignment horizontal="right"/>
    </xf>
    <xf numFmtId="164" fontId="20" fillId="0" borderId="0" xfId="0" applyNumberFormat="1" applyFont="1"/>
    <xf numFmtId="164" fontId="19" fillId="0" borderId="0" xfId="0" applyNumberFormat="1" applyFont="1" applyAlignment="1">
      <alignment horizontal="center"/>
    </xf>
    <xf numFmtId="49" fontId="15" fillId="2" borderId="0" xfId="0" applyNumberFormat="1" applyFont="1" applyFill="1" applyAlignment="1">
      <alignment horizontal="center"/>
    </xf>
    <xf numFmtId="49" fontId="15" fillId="2" borderId="5" xfId="0" applyNumberFormat="1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14" fontId="16" fillId="0" borderId="0" xfId="0" applyNumberFormat="1" applyFont="1"/>
    <xf numFmtId="2" fontId="13" fillId="0" borderId="0" xfId="0" applyNumberFormat="1" applyFont="1"/>
    <xf numFmtId="165" fontId="26" fillId="2" borderId="5" xfId="0" applyNumberFormat="1" applyFont="1" applyFill="1" applyBorder="1" applyAlignment="1">
      <alignment horizontal="righ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9" fillId="3" borderId="0" xfId="0" applyFont="1" applyFill="1" applyAlignment="1">
      <alignment horizontal="center"/>
    </xf>
    <xf numFmtId="2" fontId="15" fillId="3" borderId="5" xfId="0" applyNumberFormat="1" applyFont="1" applyFill="1" applyBorder="1" applyAlignment="1">
      <alignment horizontal="right"/>
    </xf>
    <xf numFmtId="165" fontId="15" fillId="3" borderId="5" xfId="0" applyNumberFormat="1" applyFont="1" applyFill="1" applyBorder="1" applyAlignment="1">
      <alignment horizontal="right"/>
    </xf>
    <xf numFmtId="0" fontId="19" fillId="3" borderId="0" xfId="0" applyFont="1" applyFill="1"/>
    <xf numFmtId="49" fontId="26" fillId="6" borderId="0" xfId="0" applyNumberFormat="1" applyFont="1" applyFill="1"/>
    <xf numFmtId="49" fontId="26" fillId="6" borderId="5" xfId="0" applyNumberFormat="1" applyFont="1" applyFill="1" applyBorder="1"/>
    <xf numFmtId="0" fontId="26" fillId="6" borderId="5" xfId="0" applyFont="1" applyFill="1" applyBorder="1"/>
    <xf numFmtId="4" fontId="26" fillId="6" borderId="34" xfId="0" applyNumberFormat="1" applyFont="1" applyFill="1" applyBorder="1"/>
    <xf numFmtId="4" fontId="26" fillId="11" borderId="34" xfId="0" applyNumberFormat="1" applyFont="1" applyFill="1" applyBorder="1"/>
    <xf numFmtId="164" fontId="19" fillId="0" borderId="0" xfId="0" applyNumberFormat="1" applyFont="1" applyAlignment="1">
      <alignment horizontal="left"/>
    </xf>
    <xf numFmtId="4" fontId="26" fillId="6" borderId="0" xfId="0" applyNumberFormat="1" applyFont="1" applyFill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4" fontId="19" fillId="0" borderId="0" xfId="0" applyNumberFormat="1" applyFont="1" applyAlignment="1">
      <alignment horizontal="left"/>
    </xf>
    <xf numFmtId="0" fontId="28" fillId="0" borderId="0" xfId="0" applyFont="1" applyAlignment="1">
      <alignment horizontal="right"/>
    </xf>
    <xf numFmtId="0" fontId="28" fillId="0" borderId="0" xfId="0" applyFont="1"/>
    <xf numFmtId="4" fontId="26" fillId="11" borderId="38" xfId="0" applyNumberFormat="1" applyFont="1" applyFill="1" applyBorder="1"/>
    <xf numFmtId="0" fontId="29" fillId="0" borderId="0" xfId="0" applyFont="1" applyAlignment="1">
      <alignment horizontal="right"/>
    </xf>
    <xf numFmtId="4" fontId="26" fillId="6" borderId="6" xfId="0" applyNumberFormat="1" applyFont="1" applyFill="1" applyBorder="1"/>
    <xf numFmtId="0" fontId="18" fillId="0" borderId="0" xfId="0" applyFont="1"/>
    <xf numFmtId="165" fontId="18" fillId="0" borderId="0" xfId="0" applyNumberFormat="1" applyFont="1"/>
    <xf numFmtId="14" fontId="30" fillId="3" borderId="0" xfId="0" applyNumberFormat="1" applyFont="1" applyFill="1" applyAlignment="1">
      <alignment horizontal="center"/>
    </xf>
    <xf numFmtId="49" fontId="31" fillId="0" borderId="0" xfId="0" applyNumberFormat="1" applyFont="1" applyAlignment="1">
      <alignment horizontal="center"/>
    </xf>
    <xf numFmtId="49" fontId="32" fillId="0" borderId="0" xfId="0" applyNumberFormat="1" applyFont="1" applyAlignment="1">
      <alignment horizontal="center"/>
    </xf>
    <xf numFmtId="49" fontId="30" fillId="0" borderId="0" xfId="0" applyNumberFormat="1" applyFont="1" applyAlignment="1">
      <alignment horizontal="center"/>
    </xf>
    <xf numFmtId="4" fontId="30" fillId="0" borderId="0" xfId="0" applyNumberFormat="1" applyFont="1" applyAlignment="1">
      <alignment horizontal="center"/>
    </xf>
    <xf numFmtId="14" fontId="13" fillId="3" borderId="0" xfId="0" applyNumberFormat="1" applyFont="1" applyFill="1" applyAlignment="1">
      <alignment vertical="center"/>
    </xf>
    <xf numFmtId="0" fontId="3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65" fontId="15" fillId="3" borderId="0" xfId="0" applyNumberFormat="1" applyFont="1" applyFill="1" applyAlignment="1">
      <alignment horizontal="center" vertical="center"/>
    </xf>
    <xf numFmtId="4" fontId="35" fillId="15" borderId="0" xfId="0" applyNumberFormat="1" applyFont="1" applyFill="1" applyAlignment="1">
      <alignment vertical="center"/>
    </xf>
    <xf numFmtId="4" fontId="34" fillId="6" borderId="0" xfId="0" applyNumberFormat="1" applyFont="1" applyFill="1" applyAlignment="1">
      <alignment horizontal="right" vertical="center"/>
    </xf>
    <xf numFmtId="4" fontId="34" fillId="6" borderId="0" xfId="0" applyNumberFormat="1" applyFont="1" applyFill="1" applyAlignment="1">
      <alignment vertical="center"/>
    </xf>
    <xf numFmtId="4" fontId="34" fillId="6" borderId="39" xfId="0" applyNumberFormat="1" applyFont="1" applyFill="1" applyBorder="1" applyAlignment="1">
      <alignment vertical="center"/>
    </xf>
    <xf numFmtId="4" fontId="34" fillId="6" borderId="40" xfId="0" applyNumberFormat="1" applyFont="1" applyFill="1" applyBorder="1" applyAlignment="1">
      <alignment vertical="center"/>
    </xf>
    <xf numFmtId="4" fontId="34" fillId="6" borderId="35" xfId="0" applyNumberFormat="1" applyFont="1" applyFill="1" applyBorder="1" applyAlignment="1">
      <alignment vertical="center"/>
    </xf>
    <xf numFmtId="4" fontId="34" fillId="6" borderId="36" xfId="0" applyNumberFormat="1" applyFont="1" applyFill="1" applyBorder="1" applyAlignment="1">
      <alignment vertical="center"/>
    </xf>
    <xf numFmtId="4" fontId="34" fillId="16" borderId="36" xfId="0" applyNumberFormat="1" applyFont="1" applyFill="1" applyBorder="1" applyAlignment="1">
      <alignment vertical="center"/>
    </xf>
    <xf numFmtId="4" fontId="34" fillId="6" borderId="37" xfId="0" applyNumberFormat="1" applyFont="1" applyFill="1" applyBorder="1" applyAlignment="1">
      <alignment vertical="center"/>
    </xf>
    <xf numFmtId="0" fontId="34" fillId="6" borderId="0" xfId="0" applyFont="1" applyFill="1" applyAlignment="1">
      <alignment vertical="center"/>
    </xf>
    <xf numFmtId="165" fontId="36" fillId="3" borderId="0" xfId="0" applyNumberFormat="1" applyFont="1" applyFill="1"/>
    <xf numFmtId="4" fontId="13" fillId="0" borderId="0" xfId="0" applyNumberFormat="1" applyFont="1" applyAlignment="1">
      <alignment vertical="center"/>
    </xf>
    <xf numFmtId="2" fontId="13" fillId="0" borderId="41" xfId="0" applyNumberFormat="1" applyFont="1" applyBorder="1"/>
    <xf numFmtId="2" fontId="13" fillId="0" borderId="42" xfId="0" applyNumberFormat="1" applyFont="1" applyBorder="1"/>
    <xf numFmtId="165" fontId="13" fillId="0" borderId="0" xfId="0" applyNumberFormat="1" applyFont="1"/>
    <xf numFmtId="14" fontId="15" fillId="3" borderId="0" xfId="0" applyNumberFormat="1" applyFont="1" applyFill="1" applyAlignment="1">
      <alignment vertical="center"/>
    </xf>
    <xf numFmtId="2" fontId="38" fillId="2" borderId="0" xfId="0" applyNumberFormat="1" applyFont="1" applyFill="1" applyAlignment="1">
      <alignment horizontal="center" vertical="center"/>
    </xf>
    <xf numFmtId="2" fontId="15" fillId="2" borderId="43" xfId="0" applyNumberFormat="1" applyFont="1" applyFill="1" applyBorder="1" applyAlignment="1">
      <alignment vertical="center"/>
    </xf>
    <xf numFmtId="2" fontId="15" fillId="2" borderId="43" xfId="0" applyNumberFormat="1" applyFont="1" applyFill="1" applyBorder="1" applyAlignment="1">
      <alignment horizontal="center" vertical="center"/>
    </xf>
    <xf numFmtId="2" fontId="15" fillId="2" borderId="6" xfId="0" applyNumberFormat="1" applyFont="1" applyFill="1" applyBorder="1" applyAlignment="1">
      <alignment vertical="center"/>
    </xf>
    <xf numFmtId="2" fontId="15" fillId="2" borderId="7" xfId="0" applyNumberFormat="1" applyFont="1" applyFill="1" applyBorder="1" applyAlignment="1">
      <alignment vertical="center"/>
    </xf>
    <xf numFmtId="2" fontId="15" fillId="2" borderId="41" xfId="0" applyNumberFormat="1" applyFont="1" applyFill="1" applyBorder="1" applyAlignment="1">
      <alignment vertical="center"/>
    </xf>
    <xf numFmtId="2" fontId="15" fillId="2" borderId="0" xfId="0" applyNumberFormat="1" applyFont="1" applyFill="1" applyAlignment="1">
      <alignment vertical="center"/>
    </xf>
    <xf numFmtId="2" fontId="15" fillId="2" borderId="42" xfId="0" applyNumberFormat="1" applyFont="1" applyFill="1" applyBorder="1" applyAlignment="1">
      <alignment vertical="center"/>
    </xf>
    <xf numFmtId="4" fontId="15" fillId="2" borderId="0" xfId="0" applyNumberFormat="1" applyFont="1" applyFill="1" applyAlignment="1">
      <alignment vertical="center"/>
    </xf>
    <xf numFmtId="0" fontId="15" fillId="0" borderId="0" xfId="0" applyFont="1" applyAlignment="1">
      <alignment vertical="center"/>
    </xf>
    <xf numFmtId="14" fontId="32" fillId="3" borderId="27" xfId="0" applyNumberFormat="1" applyFont="1" applyFill="1" applyBorder="1" applyAlignment="1">
      <alignment vertical="center"/>
    </xf>
    <xf numFmtId="4" fontId="33" fillId="0" borderId="0" xfId="0" applyNumberFormat="1" applyFont="1" applyAlignment="1">
      <alignment horizontal="center" vertical="center"/>
    </xf>
    <xf numFmtId="4" fontId="37" fillId="0" borderId="0" xfId="0" applyNumberFormat="1" applyFont="1" applyAlignment="1">
      <alignment vertical="center"/>
    </xf>
    <xf numFmtId="4" fontId="39" fillId="0" borderId="0" xfId="0" applyNumberFormat="1" applyFont="1" applyAlignment="1">
      <alignment vertical="center"/>
    </xf>
    <xf numFmtId="4" fontId="39" fillId="17" borderId="0" xfId="0" applyNumberFormat="1" applyFont="1" applyFill="1" applyAlignment="1">
      <alignment vertical="center"/>
    </xf>
    <xf numFmtId="4" fontId="39" fillId="0" borderId="41" xfId="0" applyNumberFormat="1" applyFont="1" applyBorder="1" applyAlignment="1">
      <alignment vertical="center"/>
    </xf>
    <xf numFmtId="4" fontId="39" fillId="0" borderId="42" xfId="0" applyNumberFormat="1" applyFont="1" applyBorder="1" applyAlignment="1">
      <alignment vertical="center"/>
    </xf>
    <xf numFmtId="4" fontId="39" fillId="0" borderId="28" xfId="0" applyNumberFormat="1" applyFont="1" applyBorder="1" applyAlignment="1">
      <alignment vertical="center"/>
    </xf>
    <xf numFmtId="4" fontId="39" fillId="3" borderId="0" xfId="0" applyNumberFormat="1" applyFont="1" applyFill="1" applyAlignment="1">
      <alignment vertical="center"/>
    </xf>
    <xf numFmtId="2" fontId="39" fillId="0" borderId="0" xfId="0" applyNumberFormat="1" applyFont="1" applyAlignment="1">
      <alignment vertical="center"/>
    </xf>
    <xf numFmtId="4" fontId="39" fillId="6" borderId="0" xfId="0" applyNumberFormat="1" applyFont="1" applyFill="1" applyAlignment="1">
      <alignment vertical="center"/>
    </xf>
    <xf numFmtId="4" fontId="39" fillId="6" borderId="41" xfId="0" applyNumberFormat="1" applyFont="1" applyFill="1" applyBorder="1" applyAlignment="1">
      <alignment vertical="center"/>
    </xf>
    <xf numFmtId="4" fontId="39" fillId="6" borderId="42" xfId="0" applyNumberFormat="1" applyFont="1" applyFill="1" applyBorder="1" applyAlignment="1">
      <alignment vertical="center"/>
    </xf>
    <xf numFmtId="4" fontId="39" fillId="6" borderId="28" xfId="0" applyNumberFormat="1" applyFont="1" applyFill="1" applyBorder="1" applyAlignment="1">
      <alignment vertical="center"/>
    </xf>
    <xf numFmtId="0" fontId="34" fillId="3" borderId="0" xfId="0" applyFont="1" applyFill="1" applyAlignment="1">
      <alignment horizontal="right" vertical="center"/>
    </xf>
    <xf numFmtId="4" fontId="35" fillId="15" borderId="37" xfId="0" applyNumberFormat="1" applyFont="1" applyFill="1" applyBorder="1" applyAlignment="1">
      <alignment vertical="center"/>
    </xf>
    <xf numFmtId="0" fontId="37" fillId="3" borderId="0" xfId="0" applyFont="1" applyFill="1" applyAlignment="1">
      <alignment horizontal="right"/>
    </xf>
    <xf numFmtId="4" fontId="35" fillId="15" borderId="44" xfId="0" applyNumberFormat="1" applyFont="1" applyFill="1" applyBorder="1" applyAlignment="1">
      <alignment vertical="center"/>
    </xf>
    <xf numFmtId="4" fontId="37" fillId="0" borderId="45" xfId="0" applyNumberFormat="1" applyFont="1" applyBorder="1" applyAlignment="1">
      <alignment vertical="center"/>
    </xf>
    <xf numFmtId="4" fontId="39" fillId="0" borderId="45" xfId="0" applyNumberFormat="1" applyFont="1" applyBorder="1" applyAlignment="1">
      <alignment vertical="center"/>
    </xf>
    <xf numFmtId="4" fontId="32" fillId="0" borderId="45" xfId="0" applyNumberFormat="1" applyFont="1" applyBorder="1" applyAlignment="1">
      <alignment horizontal="right"/>
    </xf>
    <xf numFmtId="4" fontId="32" fillId="0" borderId="46" xfId="0" applyNumberFormat="1" applyFont="1" applyBorder="1" applyAlignment="1">
      <alignment horizontal="right"/>
    </xf>
    <xf numFmtId="4" fontId="32" fillId="0" borderId="30" xfId="0" applyNumberFormat="1" applyFont="1" applyBorder="1" applyAlignment="1">
      <alignment horizontal="right"/>
    </xf>
    <xf numFmtId="2" fontId="39" fillId="6" borderId="0" xfId="0" applyNumberFormat="1" applyFont="1" applyFill="1" applyAlignment="1">
      <alignment vertical="center"/>
    </xf>
    <xf numFmtId="4" fontId="32" fillId="0" borderId="45" xfId="0" applyNumberFormat="1" applyFont="1" applyBorder="1"/>
    <xf numFmtId="4" fontId="32" fillId="0" borderId="47" xfId="0" applyNumberFormat="1" applyFont="1" applyBorder="1"/>
    <xf numFmtId="4" fontId="39" fillId="11" borderId="0" xfId="0" applyNumberFormat="1" applyFont="1" applyFill="1" applyAlignment="1">
      <alignment vertical="center"/>
    </xf>
    <xf numFmtId="4" fontId="39" fillId="11" borderId="42" xfId="0" applyNumberFormat="1" applyFont="1" applyFill="1" applyBorder="1" applyAlignment="1">
      <alignment vertical="center"/>
    </xf>
    <xf numFmtId="4" fontId="39" fillId="11" borderId="41" xfId="0" applyNumberFormat="1" applyFont="1" applyFill="1" applyBorder="1" applyAlignment="1">
      <alignment vertical="center"/>
    </xf>
    <xf numFmtId="4" fontId="39" fillId="11" borderId="28" xfId="0" applyNumberFormat="1" applyFont="1" applyFill="1" applyBorder="1" applyAlignment="1">
      <alignment vertical="center"/>
    </xf>
    <xf numFmtId="4" fontId="36" fillId="0" borderId="45" xfId="0" applyNumberFormat="1" applyFont="1" applyBorder="1"/>
    <xf numFmtId="0" fontId="39" fillId="0" borderId="0" xfId="0" applyFont="1"/>
    <xf numFmtId="4" fontId="32" fillId="0" borderId="0" xfId="0" applyNumberFormat="1" applyFont="1"/>
    <xf numFmtId="4" fontId="32" fillId="0" borderId="0" xfId="0" applyNumberFormat="1" applyFont="1" applyAlignment="1">
      <alignment horizontal="right"/>
    </xf>
    <xf numFmtId="4" fontId="32" fillId="0" borderId="41" xfId="0" applyNumberFormat="1" applyFont="1" applyBorder="1"/>
    <xf numFmtId="4" fontId="32" fillId="11" borderId="0" xfId="0" applyNumberFormat="1" applyFont="1" applyFill="1"/>
    <xf numFmtId="4" fontId="32" fillId="11" borderId="41" xfId="0" applyNumberFormat="1" applyFont="1" applyFill="1" applyBorder="1"/>
    <xf numFmtId="4" fontId="32" fillId="11" borderId="0" xfId="0" applyNumberFormat="1" applyFont="1" applyFill="1" applyAlignment="1">
      <alignment horizontal="right"/>
    </xf>
    <xf numFmtId="4" fontId="32" fillId="11" borderId="42" xfId="0" applyNumberFormat="1" applyFont="1" applyFill="1" applyBorder="1" applyAlignment="1">
      <alignment horizontal="right"/>
    </xf>
    <xf numFmtId="4" fontId="32" fillId="11" borderId="28" xfId="0" applyNumberFormat="1" applyFont="1" applyFill="1" applyBorder="1" applyAlignment="1">
      <alignment horizontal="right"/>
    </xf>
    <xf numFmtId="165" fontId="13" fillId="0" borderId="0" xfId="0" applyNumberFormat="1" applyFont="1" applyAlignment="1">
      <alignment vertical="center"/>
    </xf>
    <xf numFmtId="4" fontId="32" fillId="0" borderId="42" xfId="0" applyNumberFormat="1" applyFont="1" applyBorder="1" applyAlignment="1">
      <alignment horizontal="right"/>
    </xf>
    <xf numFmtId="4" fontId="32" fillId="0" borderId="28" xfId="0" applyNumberFormat="1" applyFont="1" applyBorder="1" applyAlignment="1">
      <alignment horizontal="right"/>
    </xf>
    <xf numFmtId="0" fontId="13" fillId="6" borderId="0" xfId="0" applyFont="1" applyFill="1" applyAlignment="1">
      <alignment vertical="center"/>
    </xf>
    <xf numFmtId="4" fontId="39" fillId="17" borderId="45" xfId="0" applyNumberFormat="1" applyFont="1" applyFill="1" applyBorder="1" applyAlignment="1">
      <alignment vertical="center"/>
    </xf>
    <xf numFmtId="0" fontId="13" fillId="0" borderId="41" xfId="0" applyFont="1" applyBorder="1"/>
    <xf numFmtId="165" fontId="36" fillId="0" borderId="0" xfId="0" applyNumberFormat="1" applyFont="1"/>
    <xf numFmtId="4" fontId="40" fillId="18" borderId="0" xfId="0" applyNumberFormat="1" applyFont="1" applyFill="1"/>
    <xf numFmtId="4" fontId="32" fillId="0" borderId="41" xfId="0" applyNumberFormat="1" applyFont="1" applyBorder="1" applyAlignment="1">
      <alignment horizontal="right"/>
    </xf>
    <xf numFmtId="4" fontId="32" fillId="3" borderId="0" xfId="0" applyNumberFormat="1" applyFont="1" applyFill="1"/>
    <xf numFmtId="4" fontId="35" fillId="3" borderId="0" xfId="0" applyNumberFormat="1" applyFont="1" applyFill="1" applyAlignment="1">
      <alignment vertical="center"/>
    </xf>
    <xf numFmtId="4" fontId="35" fillId="15" borderId="43" xfId="0" applyNumberFormat="1" applyFont="1" applyFill="1" applyBorder="1" applyAlignment="1">
      <alignment vertical="center"/>
    </xf>
    <xf numFmtId="14" fontId="32" fillId="3" borderId="29" xfId="0" applyNumberFormat="1" applyFont="1" applyFill="1" applyBorder="1" applyAlignment="1">
      <alignment vertical="center"/>
    </xf>
    <xf numFmtId="4" fontId="33" fillId="0" borderId="45" xfId="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14" fontId="37" fillId="0" borderId="0" xfId="0" applyNumberFormat="1" applyFont="1" applyAlignment="1">
      <alignment horizontal="center" vertical="center"/>
    </xf>
    <xf numFmtId="164" fontId="37" fillId="3" borderId="0" xfId="0" applyNumberFormat="1" applyFont="1" applyFill="1" applyAlignment="1">
      <alignment horizontal="center" vertical="center"/>
    </xf>
    <xf numFmtId="14" fontId="39" fillId="0" borderId="0" xfId="0" applyNumberFormat="1" applyFont="1" applyAlignment="1">
      <alignment horizontal="center"/>
    </xf>
    <xf numFmtId="0" fontId="39" fillId="0" borderId="0" xfId="0" applyFont="1" applyAlignment="1">
      <alignment horizontal="center"/>
    </xf>
    <xf numFmtId="164" fontId="37" fillId="0" borderId="0" xfId="0" applyNumberFormat="1" applyFont="1"/>
    <xf numFmtId="164" fontId="37" fillId="0" borderId="0" xfId="0" applyNumberFormat="1" applyFont="1" applyAlignment="1">
      <alignment horizontal="center" vertical="center"/>
    </xf>
    <xf numFmtId="164" fontId="39" fillId="0" borderId="0" xfId="0" applyNumberFormat="1" applyFont="1"/>
    <xf numFmtId="164" fontId="39" fillId="0" borderId="0" xfId="0" applyNumberFormat="1" applyFont="1" applyAlignment="1">
      <alignment horizontal="center"/>
    </xf>
    <xf numFmtId="164" fontId="39" fillId="3" borderId="0" xfId="0" applyNumberFormat="1" applyFont="1" applyFill="1"/>
    <xf numFmtId="4" fontId="39" fillId="0" borderId="0" xfId="0" applyNumberFormat="1" applyFont="1" applyAlignment="1">
      <alignment horizontal="center"/>
    </xf>
    <xf numFmtId="4" fontId="39" fillId="3" borderId="0" xfId="0" applyNumberFormat="1" applyFont="1" applyFill="1" applyAlignment="1">
      <alignment horizontal="center"/>
    </xf>
    <xf numFmtId="166" fontId="39" fillId="0" borderId="0" xfId="0" applyNumberFormat="1" applyFont="1" applyAlignment="1">
      <alignment horizontal="center"/>
    </xf>
    <xf numFmtId="14" fontId="39" fillId="3" borderId="0" xfId="0" applyNumberFormat="1" applyFont="1" applyFill="1" applyAlignment="1">
      <alignment horizontal="center"/>
    </xf>
    <xf numFmtId="0" fontId="39" fillId="3" borderId="0" xfId="0" applyFont="1" applyFill="1" applyAlignment="1">
      <alignment horizontal="center"/>
    </xf>
    <xf numFmtId="14" fontId="39" fillId="19" borderId="0" xfId="0" applyNumberFormat="1" applyFont="1" applyFill="1" applyAlignment="1">
      <alignment horizontal="center"/>
    </xf>
    <xf numFmtId="0" fontId="39" fillId="19" borderId="0" xfId="0" applyFont="1" applyFill="1" applyAlignment="1">
      <alignment horizontal="center"/>
    </xf>
    <xf numFmtId="164" fontId="39" fillId="19" borderId="0" xfId="0" applyNumberFormat="1" applyFont="1" applyFill="1"/>
    <xf numFmtId="164" fontId="13" fillId="0" borderId="42" xfId="0" applyNumberFormat="1" applyFont="1" applyBorder="1" applyAlignment="1">
      <alignment horizontal="center"/>
    </xf>
    <xf numFmtId="164" fontId="13" fillId="0" borderId="42" xfId="0" applyNumberFormat="1" applyFont="1" applyBorder="1"/>
    <xf numFmtId="0" fontId="13" fillId="0" borderId="51" xfId="0" applyFont="1" applyBorder="1"/>
    <xf numFmtId="164" fontId="13" fillId="0" borderId="52" xfId="0" applyNumberFormat="1" applyFont="1" applyBorder="1"/>
    <xf numFmtId="0" fontId="13" fillId="0" borderId="53" xfId="0" applyFont="1" applyBorder="1"/>
    <xf numFmtId="164" fontId="43" fillId="12" borderId="54" xfId="0" applyNumberFormat="1" applyFont="1" applyFill="1" applyBorder="1"/>
    <xf numFmtId="0" fontId="43" fillId="0" borderId="0" xfId="0" applyFont="1" applyAlignment="1">
      <alignment horizontal="center" vertical="center"/>
    </xf>
    <xf numFmtId="2" fontId="9" fillId="3" borderId="0" xfId="0" applyNumberFormat="1" applyFont="1" applyFill="1" applyAlignment="1">
      <alignment horizontal="center"/>
    </xf>
    <xf numFmtId="4" fontId="9" fillId="3" borderId="0" xfId="0" applyNumberFormat="1" applyFont="1" applyFill="1" applyAlignment="1">
      <alignment horizontal="center"/>
    </xf>
    <xf numFmtId="4" fontId="9" fillId="3" borderId="0" xfId="0" applyNumberFormat="1" applyFont="1" applyFill="1" applyAlignment="1">
      <alignment horizontal="right"/>
    </xf>
    <xf numFmtId="2" fontId="9" fillId="2" borderId="5" xfId="0" applyNumberFormat="1" applyFont="1" applyFill="1" applyBorder="1" applyAlignment="1">
      <alignment horizontal="center"/>
    </xf>
    <xf numFmtId="4" fontId="9" fillId="2" borderId="5" xfId="0" applyNumberFormat="1" applyFont="1" applyFill="1" applyBorder="1" applyAlignment="1">
      <alignment horizontal="center"/>
    </xf>
    <xf numFmtId="4" fontId="9" fillId="2" borderId="6" xfId="0" applyNumberFormat="1" applyFont="1" applyFill="1" applyBorder="1" applyAlignment="1">
      <alignment horizontal="center"/>
    </xf>
    <xf numFmtId="4" fontId="37" fillId="12" borderId="0" xfId="0" applyNumberFormat="1" applyFont="1" applyFill="1"/>
    <xf numFmtId="4" fontId="37" fillId="12" borderId="0" xfId="0" applyNumberFormat="1" applyFont="1" applyFill="1" applyAlignment="1">
      <alignment horizontal="right"/>
    </xf>
    <xf numFmtId="4" fontId="34" fillId="16" borderId="55" xfId="0" applyNumberFormat="1" applyFont="1" applyFill="1" applyBorder="1" applyAlignment="1">
      <alignment horizontal="right" vertical="center"/>
    </xf>
    <xf numFmtId="14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4" fontId="32" fillId="0" borderId="0" xfId="0" applyNumberFormat="1" applyFont="1" applyAlignment="1">
      <alignment horizontal="center"/>
    </xf>
    <xf numFmtId="0" fontId="36" fillId="0" borderId="0" xfId="0" applyFont="1"/>
    <xf numFmtId="14" fontId="32" fillId="19" borderId="0" xfId="0" applyNumberFormat="1" applyFont="1" applyFill="1" applyAlignment="1">
      <alignment horizontal="center"/>
    </xf>
    <xf numFmtId="0" fontId="32" fillId="19" borderId="0" xfId="0" applyFont="1" applyFill="1" applyAlignment="1">
      <alignment horizontal="center"/>
    </xf>
    <xf numFmtId="4" fontId="32" fillId="19" borderId="0" xfId="0" applyNumberFormat="1" applyFont="1" applyFill="1" applyAlignment="1">
      <alignment horizontal="right"/>
    </xf>
    <xf numFmtId="4" fontId="32" fillId="19" borderId="0" xfId="0" applyNumberFormat="1" applyFont="1" applyFill="1" applyAlignment="1">
      <alignment horizontal="center"/>
    </xf>
    <xf numFmtId="0" fontId="36" fillId="19" borderId="0" xfId="0" applyFont="1" applyFill="1"/>
    <xf numFmtId="166" fontId="32" fillId="0" borderId="0" xfId="0" applyNumberFormat="1" applyFont="1" applyAlignment="1">
      <alignment horizontal="center"/>
    </xf>
    <xf numFmtId="4" fontId="44" fillId="3" borderId="0" xfId="0" applyNumberFormat="1" applyFont="1" applyFill="1" applyAlignment="1">
      <alignment horizontal="center"/>
    </xf>
    <xf numFmtId="4" fontId="44" fillId="3" borderId="0" xfId="0" applyNumberFormat="1" applyFont="1" applyFill="1" applyAlignment="1">
      <alignment horizontal="right"/>
    </xf>
    <xf numFmtId="4" fontId="39" fillId="0" borderId="0" xfId="0" applyNumberFormat="1" applyFont="1"/>
    <xf numFmtId="4" fontId="39" fillId="0" borderId="0" xfId="0" applyNumberFormat="1" applyFont="1" applyAlignment="1">
      <alignment horizontal="right"/>
    </xf>
    <xf numFmtId="14" fontId="39" fillId="0" borderId="45" xfId="0" applyNumberFormat="1" applyFont="1" applyBorder="1" applyAlignment="1">
      <alignment horizontal="center"/>
    </xf>
    <xf numFmtId="0" fontId="39" fillId="0" borderId="45" xfId="0" applyFont="1" applyBorder="1" applyAlignment="1">
      <alignment horizontal="center"/>
    </xf>
    <xf numFmtId="4" fontId="39" fillId="0" borderId="45" xfId="0" applyNumberFormat="1" applyFont="1" applyBorder="1"/>
    <xf numFmtId="4" fontId="39" fillId="0" borderId="45" xfId="0" applyNumberFormat="1" applyFont="1" applyBorder="1" applyAlignment="1">
      <alignment horizontal="center"/>
    </xf>
    <xf numFmtId="0" fontId="13" fillId="0" borderId="45" xfId="0" applyFont="1" applyBorder="1"/>
    <xf numFmtId="4" fontId="39" fillId="3" borderId="0" xfId="0" applyNumberFormat="1" applyFont="1" applyFill="1"/>
    <xf numFmtId="4" fontId="39" fillId="3" borderId="0" xfId="0" applyNumberFormat="1" applyFont="1" applyFill="1" applyAlignment="1">
      <alignment horizontal="right"/>
    </xf>
    <xf numFmtId="4" fontId="32" fillId="3" borderId="0" xfId="0" applyNumberFormat="1" applyFont="1" applyFill="1" applyAlignment="1">
      <alignment horizontal="right"/>
    </xf>
    <xf numFmtId="0" fontId="13" fillId="3" borderId="0" xfId="0" applyFont="1" applyFill="1"/>
    <xf numFmtId="14" fontId="39" fillId="3" borderId="45" xfId="0" applyNumberFormat="1" applyFont="1" applyFill="1" applyBorder="1" applyAlignment="1">
      <alignment horizontal="center"/>
    </xf>
    <xf numFmtId="0" fontId="39" fillId="3" borderId="45" xfId="0" applyFont="1" applyFill="1" applyBorder="1" applyAlignment="1">
      <alignment horizontal="center"/>
    </xf>
    <xf numFmtId="4" fontId="39" fillId="3" borderId="45" xfId="0" applyNumberFormat="1" applyFont="1" applyFill="1" applyBorder="1"/>
    <xf numFmtId="4" fontId="39" fillId="3" borderId="45" xfId="0" applyNumberFormat="1" applyFont="1" applyFill="1" applyBorder="1" applyAlignment="1">
      <alignment horizontal="center"/>
    </xf>
    <xf numFmtId="4" fontId="39" fillId="3" borderId="45" xfId="0" applyNumberFormat="1" applyFont="1" applyFill="1" applyBorder="1" applyAlignment="1">
      <alignment horizontal="right"/>
    </xf>
    <xf numFmtId="4" fontId="32" fillId="3" borderId="45" xfId="0" applyNumberFormat="1" applyFont="1" applyFill="1" applyBorder="1" applyAlignment="1">
      <alignment horizontal="right"/>
    </xf>
    <xf numFmtId="0" fontId="13" fillId="3" borderId="45" xfId="0" applyFont="1" applyFill="1" applyBorder="1"/>
    <xf numFmtId="4" fontId="39" fillId="0" borderId="45" xfId="0" applyNumberFormat="1" applyFont="1" applyBorder="1" applyAlignment="1">
      <alignment horizontal="right"/>
    </xf>
    <xf numFmtId="166" fontId="39" fillId="0" borderId="45" xfId="0" applyNumberFormat="1" applyFont="1" applyBorder="1" applyAlignment="1">
      <alignment horizontal="center"/>
    </xf>
    <xf numFmtId="166" fontId="39" fillId="19" borderId="0" xfId="0" applyNumberFormat="1" applyFont="1" applyFill="1" applyAlignment="1">
      <alignment horizontal="center"/>
    </xf>
    <xf numFmtId="4" fontId="39" fillId="19" borderId="0" xfId="0" applyNumberFormat="1" applyFont="1" applyFill="1"/>
    <xf numFmtId="4" fontId="39" fillId="19" borderId="0" xfId="0" applyNumberFormat="1" applyFont="1" applyFill="1" applyAlignment="1">
      <alignment horizontal="center"/>
    </xf>
    <xf numFmtId="4" fontId="39" fillId="19" borderId="0" xfId="0" applyNumberFormat="1" applyFont="1" applyFill="1" applyAlignment="1">
      <alignment horizontal="right"/>
    </xf>
    <xf numFmtId="0" fontId="13" fillId="19" borderId="0" xfId="0" applyFont="1" applyFill="1"/>
    <xf numFmtId="14" fontId="39" fillId="19" borderId="45" xfId="0" applyNumberFormat="1" applyFont="1" applyFill="1" applyBorder="1" applyAlignment="1">
      <alignment horizontal="center"/>
    </xf>
    <xf numFmtId="0" fontId="39" fillId="19" borderId="45" xfId="0" applyFont="1" applyFill="1" applyBorder="1" applyAlignment="1">
      <alignment horizontal="center"/>
    </xf>
    <xf numFmtId="4" fontId="39" fillId="19" borderId="45" xfId="0" applyNumberFormat="1" applyFont="1" applyFill="1" applyBorder="1"/>
    <xf numFmtId="4" fontId="39" fillId="19" borderId="45" xfId="0" applyNumberFormat="1" applyFont="1" applyFill="1" applyBorder="1" applyAlignment="1">
      <alignment horizontal="center"/>
    </xf>
    <xf numFmtId="4" fontId="39" fillId="19" borderId="45" xfId="0" applyNumberFormat="1" applyFont="1" applyFill="1" applyBorder="1" applyAlignment="1">
      <alignment horizontal="right"/>
    </xf>
    <xf numFmtId="4" fontId="32" fillId="19" borderId="45" xfId="0" applyNumberFormat="1" applyFont="1" applyFill="1" applyBorder="1" applyAlignment="1">
      <alignment horizontal="right"/>
    </xf>
    <xf numFmtId="0" fontId="13" fillId="19" borderId="45" xfId="0" applyFont="1" applyFill="1" applyBorder="1"/>
    <xf numFmtId="14" fontId="42" fillId="0" borderId="0" xfId="0" applyNumberFormat="1" applyFont="1" applyAlignment="1">
      <alignment horizontal="center" vertical="center"/>
    </xf>
    <xf numFmtId="49" fontId="42" fillId="3" borderId="0" xfId="0" applyNumberFormat="1" applyFont="1" applyFill="1" applyAlignment="1">
      <alignment horizontal="right" vertical="center"/>
    </xf>
    <xf numFmtId="14" fontId="9" fillId="3" borderId="0" xfId="0" applyNumberFormat="1" applyFont="1" applyFill="1" applyAlignment="1">
      <alignment horizontal="center"/>
    </xf>
    <xf numFmtId="49" fontId="9" fillId="3" borderId="0" xfId="0" applyNumberFormat="1" applyFont="1" applyFill="1" applyAlignment="1">
      <alignment horizontal="right"/>
    </xf>
    <xf numFmtId="14" fontId="9" fillId="2" borderId="5" xfId="0" applyNumberFormat="1" applyFon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45" fillId="3" borderId="0" xfId="0" applyNumberFormat="1" applyFont="1" applyFill="1" applyAlignment="1">
      <alignment horizontal="right" vertical="center"/>
    </xf>
    <xf numFmtId="14" fontId="46" fillId="3" borderId="0" xfId="0" applyNumberFormat="1" applyFont="1" applyFill="1" applyAlignment="1">
      <alignment horizontal="center"/>
    </xf>
    <xf numFmtId="0" fontId="46" fillId="3" borderId="0" xfId="0" applyFont="1" applyFill="1" applyAlignment="1">
      <alignment horizontal="center"/>
    </xf>
    <xf numFmtId="4" fontId="46" fillId="3" borderId="0" xfId="0" applyNumberFormat="1" applyFont="1" applyFill="1"/>
    <xf numFmtId="49" fontId="46" fillId="3" borderId="0" xfId="0" applyNumberFormat="1" applyFont="1" applyFill="1" applyAlignment="1">
      <alignment horizontal="right"/>
    </xf>
    <xf numFmtId="49" fontId="47" fillId="3" borderId="0" xfId="0" applyNumberFormat="1" applyFont="1" applyFill="1" applyAlignment="1">
      <alignment horizontal="right"/>
    </xf>
    <xf numFmtId="4" fontId="46" fillId="19" borderId="0" xfId="0" applyNumberFormat="1" applyFont="1" applyFill="1"/>
    <xf numFmtId="168" fontId="46" fillId="3" borderId="0" xfId="0" applyNumberFormat="1" applyFont="1" applyFill="1" applyAlignment="1">
      <alignment horizontal="center"/>
    </xf>
    <xf numFmtId="49" fontId="13" fillId="0" borderId="0" xfId="0" applyNumberFormat="1" applyFont="1" applyAlignment="1">
      <alignment horizontal="right"/>
    </xf>
    <xf numFmtId="166" fontId="46" fillId="3" borderId="0" xfId="0" applyNumberFormat="1" applyFont="1" applyFill="1" applyAlignment="1">
      <alignment horizontal="center"/>
    </xf>
    <xf numFmtId="4" fontId="48" fillId="3" borderId="0" xfId="0" applyNumberFormat="1" applyFont="1" applyFill="1"/>
    <xf numFmtId="4" fontId="34" fillId="12" borderId="0" xfId="0" applyNumberFormat="1" applyFont="1" applyFill="1" applyAlignment="1">
      <alignment horizontal="right" vertical="center"/>
    </xf>
    <xf numFmtId="168" fontId="13" fillId="0" borderId="0" xfId="0" applyNumberFormat="1" applyFont="1"/>
    <xf numFmtId="164" fontId="37" fillId="12" borderId="0" xfId="0" applyNumberFormat="1" applyFont="1" applyFill="1"/>
    <xf numFmtId="164" fontId="37" fillId="12" borderId="56" xfId="0" applyNumberFormat="1" applyFont="1" applyFill="1" applyBorder="1"/>
    <xf numFmtId="164" fontId="39" fillId="0" borderId="45" xfId="0" applyNumberFormat="1" applyFont="1" applyBorder="1"/>
    <xf numFmtId="164" fontId="39" fillId="19" borderId="45" xfId="0" applyNumberFormat="1" applyFont="1" applyFill="1" applyBorder="1"/>
    <xf numFmtId="164" fontId="39" fillId="3" borderId="45" xfId="0" applyNumberFormat="1" applyFont="1" applyFill="1" applyBorder="1"/>
    <xf numFmtId="169" fontId="39" fillId="0" borderId="0" xfId="0" applyNumberFormat="1" applyFont="1" applyAlignment="1">
      <alignment horizontal="center"/>
    </xf>
    <xf numFmtId="14" fontId="39" fillId="21" borderId="0" xfId="0" applyNumberFormat="1" applyFont="1" applyFill="1" applyAlignment="1">
      <alignment horizontal="center"/>
    </xf>
    <xf numFmtId="0" fontId="39" fillId="21" borderId="0" xfId="0" applyFont="1" applyFill="1" applyAlignment="1">
      <alignment horizontal="center"/>
    </xf>
    <xf numFmtId="164" fontId="39" fillId="21" borderId="0" xfId="0" applyNumberFormat="1" applyFont="1" applyFill="1"/>
    <xf numFmtId="0" fontId="13" fillId="21" borderId="0" xfId="0" applyFont="1" applyFill="1"/>
    <xf numFmtId="0" fontId="39" fillId="21" borderId="45" xfId="0" applyFont="1" applyFill="1" applyBorder="1" applyAlignment="1">
      <alignment horizontal="center"/>
    </xf>
    <xf numFmtId="164" fontId="39" fillId="21" borderId="45" xfId="0" applyNumberFormat="1" applyFont="1" applyFill="1" applyBorder="1"/>
    <xf numFmtId="0" fontId="49" fillId="0" borderId="0" xfId="0" applyFont="1"/>
    <xf numFmtId="169" fontId="39" fillId="3" borderId="0" xfId="0" applyNumberFormat="1" applyFont="1" applyFill="1" applyAlignment="1">
      <alignment horizontal="center"/>
    </xf>
    <xf numFmtId="169" fontId="39" fillId="22" borderId="0" xfId="0" applyNumberFormat="1" applyFont="1" applyFill="1" applyAlignment="1">
      <alignment horizontal="center"/>
    </xf>
    <xf numFmtId="0" fontId="39" fillId="22" borderId="0" xfId="0" applyFont="1" applyFill="1" applyAlignment="1">
      <alignment horizontal="center"/>
    </xf>
    <xf numFmtId="164" fontId="39" fillId="22" borderId="0" xfId="0" applyNumberFormat="1" applyFont="1" applyFill="1"/>
    <xf numFmtId="0" fontId="13" fillId="22" borderId="0" xfId="0" applyFont="1" applyFill="1"/>
    <xf numFmtId="14" fontId="39" fillId="0" borderId="0" xfId="0" applyNumberFormat="1" applyFont="1"/>
    <xf numFmtId="0" fontId="50" fillId="0" borderId="0" xfId="0" applyFont="1" applyAlignment="1">
      <alignment horizontal="center" vertical="center"/>
    </xf>
    <xf numFmtId="14" fontId="51" fillId="0" borderId="0" xfId="0" applyNumberFormat="1" applyFont="1" applyAlignment="1">
      <alignment horizontal="right"/>
    </xf>
    <xf numFmtId="0" fontId="51" fillId="0" borderId="0" xfId="0" applyFont="1" applyAlignment="1">
      <alignment horizontal="right"/>
    </xf>
    <xf numFmtId="164" fontId="50" fillId="0" borderId="0" xfId="0" applyNumberFormat="1" applyFont="1" applyAlignment="1">
      <alignment horizontal="center" vertical="center"/>
    </xf>
    <xf numFmtId="170" fontId="51" fillId="0" borderId="0" xfId="0" applyNumberFormat="1" applyFont="1" applyAlignment="1">
      <alignment horizontal="right"/>
    </xf>
    <xf numFmtId="0" fontId="51" fillId="0" borderId="0" xfId="0" applyFont="1"/>
    <xf numFmtId="164" fontId="51" fillId="0" borderId="0" xfId="0" applyNumberFormat="1" applyFont="1"/>
    <xf numFmtId="164" fontId="50" fillId="0" borderId="0" xfId="0" applyNumberFormat="1" applyFont="1" applyAlignment="1">
      <alignment horizontal="center"/>
    </xf>
    <xf numFmtId="164" fontId="50" fillId="0" borderId="57" xfId="0" applyNumberFormat="1" applyFont="1" applyBorder="1" applyAlignment="1">
      <alignment horizontal="center"/>
    </xf>
    <xf numFmtId="164" fontId="50" fillId="3" borderId="57" xfId="0" applyNumberFormat="1" applyFont="1" applyFill="1" applyBorder="1" applyAlignment="1">
      <alignment horizontal="center"/>
    </xf>
    <xf numFmtId="164" fontId="50" fillId="3" borderId="0" xfId="0" applyNumberFormat="1" applyFont="1" applyFill="1" applyAlignment="1">
      <alignment horizontal="center"/>
    </xf>
    <xf numFmtId="164" fontId="50" fillId="0" borderId="0" xfId="0" applyNumberFormat="1" applyFont="1"/>
    <xf numFmtId="164" fontId="50" fillId="3" borderId="0" xfId="0" applyNumberFormat="1" applyFont="1" applyFill="1"/>
    <xf numFmtId="164" fontId="51" fillId="3" borderId="0" xfId="0" applyNumberFormat="1" applyFont="1" applyFill="1"/>
    <xf numFmtId="164" fontId="51" fillId="0" borderId="0" xfId="0" applyNumberFormat="1" applyFont="1" applyAlignment="1">
      <alignment horizontal="center"/>
    </xf>
    <xf numFmtId="0" fontId="51" fillId="3" borderId="0" xfId="0" applyFont="1" applyFill="1"/>
    <xf numFmtId="14" fontId="52" fillId="3" borderId="0" xfId="0" applyNumberFormat="1" applyFont="1" applyFill="1" applyAlignment="1">
      <alignment horizontal="right"/>
    </xf>
    <xf numFmtId="0" fontId="52" fillId="3" borderId="0" xfId="0" applyFont="1" applyFill="1" applyAlignment="1">
      <alignment horizontal="right"/>
    </xf>
    <xf numFmtId="171" fontId="51" fillId="0" borderId="0" xfId="0" applyNumberFormat="1" applyFont="1" applyAlignment="1">
      <alignment horizontal="right"/>
    </xf>
    <xf numFmtId="2" fontId="22" fillId="2" borderId="1" xfId="0" applyNumberFormat="1" applyFont="1" applyFill="1" applyBorder="1" applyAlignment="1">
      <alignment horizontal="left"/>
    </xf>
    <xf numFmtId="10" fontId="22" fillId="2" borderId="3" xfId="0" applyNumberFormat="1" applyFont="1" applyFill="1" applyBorder="1" applyAlignment="1">
      <alignment horizontal="center"/>
    </xf>
    <xf numFmtId="0" fontId="17" fillId="0" borderId="0" xfId="0" applyFont="1"/>
    <xf numFmtId="2" fontId="22" fillId="2" borderId="1" xfId="0" applyNumberFormat="1" applyFont="1" applyFill="1" applyBorder="1" applyAlignment="1">
      <alignment horizontal="center"/>
    </xf>
    <xf numFmtId="10" fontId="13" fillId="0" borderId="0" xfId="0" applyNumberFormat="1" applyFont="1" applyAlignment="1">
      <alignment horizontal="center"/>
    </xf>
    <xf numFmtId="10" fontId="13" fillId="0" borderId="0" xfId="0" applyNumberFormat="1" applyFont="1"/>
    <xf numFmtId="164" fontId="43" fillId="0" borderId="0" xfId="0" applyNumberFormat="1" applyFont="1" applyAlignment="1">
      <alignment horizontal="center" vertical="center"/>
    </xf>
    <xf numFmtId="164" fontId="46" fillId="3" borderId="0" xfId="0" applyNumberFormat="1" applyFont="1" applyFill="1"/>
    <xf numFmtId="164" fontId="36" fillId="0" borderId="0" xfId="0" applyNumberFormat="1" applyFont="1" applyAlignment="1">
      <alignment horizontal="right"/>
    </xf>
    <xf numFmtId="164" fontId="10" fillId="12" borderId="0" xfId="0" applyNumberFormat="1" applyFont="1" applyFill="1"/>
    <xf numFmtId="2" fontId="22" fillId="2" borderId="5" xfId="0" applyNumberFormat="1" applyFont="1" applyFill="1" applyBorder="1" applyAlignment="1">
      <alignment horizontal="right"/>
    </xf>
    <xf numFmtId="164" fontId="5" fillId="2" borderId="5" xfId="0" applyNumberFormat="1" applyFont="1" applyFill="1" applyBorder="1" applyAlignment="1">
      <alignment horizontal="right"/>
    </xf>
    <xf numFmtId="164" fontId="10" fillId="0" borderId="0" xfId="0" applyNumberFormat="1" applyFont="1"/>
    <xf numFmtId="164" fontId="5" fillId="3" borderId="5" xfId="0" applyNumberFormat="1" applyFont="1" applyFill="1" applyBorder="1" applyAlignment="1">
      <alignment horizontal="right"/>
    </xf>
    <xf numFmtId="164" fontId="5" fillId="3" borderId="0" xfId="0" applyNumberFormat="1" applyFont="1" applyFill="1" applyAlignment="1">
      <alignment horizontal="right"/>
    </xf>
    <xf numFmtId="165" fontId="53" fillId="23" borderId="0" xfId="0" applyNumberFormat="1" applyFont="1" applyFill="1" applyAlignment="1">
      <alignment horizontal="right"/>
    </xf>
    <xf numFmtId="164" fontId="54" fillId="23" borderId="0" xfId="0" applyNumberFormat="1" applyFont="1" applyFill="1"/>
    <xf numFmtId="164" fontId="54" fillId="3" borderId="0" xfId="0" applyNumberFormat="1" applyFont="1" applyFill="1"/>
    <xf numFmtId="3" fontId="13" fillId="0" borderId="0" xfId="0" applyNumberFormat="1" applyFont="1" applyAlignment="1">
      <alignment horizontal="center"/>
    </xf>
    <xf numFmtId="0" fontId="43" fillId="0" borderId="0" xfId="0" applyFont="1"/>
    <xf numFmtId="164" fontId="43" fillId="0" borderId="0" xfId="0" applyNumberFormat="1" applyFont="1"/>
    <xf numFmtId="14" fontId="43" fillId="0" borderId="0" xfId="0" applyNumberFormat="1" applyFont="1" applyAlignment="1">
      <alignment horizontal="center" vertical="center"/>
    </xf>
    <xf numFmtId="167" fontId="43" fillId="0" borderId="0" xfId="0" applyNumberFormat="1" applyFont="1" applyAlignment="1">
      <alignment horizontal="center" vertical="center"/>
    </xf>
    <xf numFmtId="14" fontId="13" fillId="0" borderId="0" xfId="0" applyNumberFormat="1" applyFont="1" applyAlignment="1">
      <alignment horizontal="center"/>
    </xf>
    <xf numFmtId="167" fontId="13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/>
    </xf>
    <xf numFmtId="164" fontId="13" fillId="6" borderId="0" xfId="0" applyNumberFormat="1" applyFont="1" applyFill="1"/>
    <xf numFmtId="0" fontId="55" fillId="0" borderId="0" xfId="0" applyFont="1"/>
    <xf numFmtId="0" fontId="57" fillId="0" borderId="0" xfId="0" applyFont="1"/>
    <xf numFmtId="0" fontId="58" fillId="0" borderId="0" xfId="0" applyFont="1"/>
    <xf numFmtId="0" fontId="16" fillId="0" borderId="48" xfId="0" applyFont="1" applyBorder="1"/>
    <xf numFmtId="0" fontId="59" fillId="0" borderId="53" xfId="0" applyFont="1" applyBorder="1" applyAlignment="1">
      <alignment horizontal="left" vertical="center"/>
    </xf>
    <xf numFmtId="0" fontId="62" fillId="0" borderId="0" xfId="0" applyFont="1" applyAlignment="1">
      <alignment horizontal="center" vertical="center"/>
    </xf>
    <xf numFmtId="0" fontId="60" fillId="0" borderId="60" xfId="0" applyFont="1" applyBorder="1" applyAlignment="1">
      <alignment horizontal="left" vertical="center"/>
    </xf>
    <xf numFmtId="4" fontId="60" fillId="0" borderId="63" xfId="0" applyNumberFormat="1" applyFont="1" applyBorder="1" applyAlignment="1">
      <alignment horizontal="left" vertical="center"/>
    </xf>
    <xf numFmtId="0" fontId="59" fillId="0" borderId="36" xfId="0" applyFont="1" applyBorder="1" applyAlignment="1">
      <alignment horizontal="left" vertical="center"/>
    </xf>
    <xf numFmtId="0" fontId="60" fillId="24" borderId="64" xfId="0" applyFont="1" applyFill="1" applyBorder="1" applyAlignment="1">
      <alignment horizontal="center" vertical="center"/>
    </xf>
    <xf numFmtId="0" fontId="60" fillId="0" borderId="36" xfId="0" applyFont="1" applyBorder="1" applyAlignment="1">
      <alignment horizontal="center" vertical="center"/>
    </xf>
    <xf numFmtId="0" fontId="61" fillId="25" borderId="65" xfId="0" applyFont="1" applyFill="1" applyBorder="1" applyAlignment="1">
      <alignment horizontal="center" vertical="center"/>
    </xf>
    <xf numFmtId="0" fontId="61" fillId="0" borderId="36" xfId="0" applyFont="1" applyBorder="1" applyAlignment="1">
      <alignment horizontal="center" vertical="center"/>
    </xf>
    <xf numFmtId="0" fontId="16" fillId="0" borderId="36" xfId="0" applyFont="1" applyBorder="1"/>
    <xf numFmtId="0" fontId="61" fillId="25" borderId="66" xfId="0" applyFont="1" applyFill="1" applyBorder="1" applyAlignment="1">
      <alignment horizontal="center" vertical="center"/>
    </xf>
    <xf numFmtId="0" fontId="61" fillId="0" borderId="37" xfId="0" applyFont="1" applyBorder="1" applyAlignment="1">
      <alignment horizontal="center" vertical="center"/>
    </xf>
    <xf numFmtId="0" fontId="16" fillId="0" borderId="35" xfId="0" applyFont="1" applyBorder="1"/>
    <xf numFmtId="0" fontId="60" fillId="0" borderId="37" xfId="0" applyFont="1" applyBorder="1" applyAlignment="1">
      <alignment horizontal="center" vertical="center"/>
    </xf>
    <xf numFmtId="0" fontId="61" fillId="25" borderId="64" xfId="0" applyFont="1" applyFill="1" applyBorder="1" applyAlignment="1">
      <alignment horizontal="center" vertical="center"/>
    </xf>
    <xf numFmtId="0" fontId="59" fillId="0" borderId="57" xfId="0" applyFont="1" applyBorder="1" applyAlignment="1">
      <alignment horizontal="left" vertical="center"/>
    </xf>
    <xf numFmtId="4" fontId="63" fillId="24" borderId="5" xfId="0" applyNumberFormat="1" applyFont="1" applyFill="1" applyBorder="1" applyAlignment="1">
      <alignment horizontal="right" vertical="center"/>
    </xf>
    <xf numFmtId="4" fontId="64" fillId="25" borderId="67" xfId="0" applyNumberFormat="1" applyFont="1" applyFill="1" applyBorder="1" applyAlignment="1">
      <alignment horizontal="right" vertical="center"/>
    </xf>
    <xf numFmtId="0" fontId="16" fillId="24" borderId="5" xfId="0" applyFont="1" applyFill="1" applyBorder="1"/>
    <xf numFmtId="0" fontId="16" fillId="25" borderId="68" xfId="0" applyFont="1" applyFill="1" applyBorder="1"/>
    <xf numFmtId="0" fontId="66" fillId="0" borderId="41" xfId="0" applyFont="1" applyBorder="1" applyAlignment="1">
      <alignment horizontal="left" vertical="center"/>
    </xf>
    <xf numFmtId="0" fontId="16" fillId="0" borderId="42" xfId="0" applyFont="1" applyBorder="1"/>
    <xf numFmtId="0" fontId="16" fillId="25" borderId="5" xfId="0" applyFont="1" applyFill="1" applyBorder="1"/>
    <xf numFmtId="0" fontId="59" fillId="0" borderId="0" xfId="0" applyFont="1" applyAlignment="1">
      <alignment horizontal="left" vertical="center"/>
    </xf>
    <xf numFmtId="4" fontId="63" fillId="0" borderId="0" xfId="0" applyNumberFormat="1" applyFont="1" applyAlignment="1">
      <alignment horizontal="right" vertical="center"/>
    </xf>
    <xf numFmtId="4" fontId="64" fillId="25" borderId="68" xfId="0" applyNumberFormat="1" applyFont="1" applyFill="1" applyBorder="1" applyAlignment="1">
      <alignment horizontal="right" vertical="center"/>
    </xf>
    <xf numFmtId="4" fontId="64" fillId="0" borderId="0" xfId="0" applyNumberFormat="1" applyFont="1" applyAlignment="1">
      <alignment horizontal="right" vertical="center"/>
    </xf>
    <xf numFmtId="4" fontId="59" fillId="0" borderId="41" xfId="0" applyNumberFormat="1" applyFont="1" applyBorder="1" applyAlignment="1">
      <alignment horizontal="left" vertical="center"/>
    </xf>
    <xf numFmtId="4" fontId="63" fillId="0" borderId="42" xfId="0" applyNumberFormat="1" applyFont="1" applyBorder="1" applyAlignment="1">
      <alignment horizontal="right" vertical="center"/>
    </xf>
    <xf numFmtId="4" fontId="64" fillId="25" borderId="5" xfId="0" applyNumberFormat="1" applyFont="1" applyFill="1" applyBorder="1" applyAlignment="1">
      <alignment horizontal="right" vertical="center"/>
    </xf>
    <xf numFmtId="0" fontId="16" fillId="0" borderId="53" xfId="0" applyFont="1" applyBorder="1"/>
    <xf numFmtId="0" fontId="16" fillId="24" borderId="69" xfId="0" applyFont="1" applyFill="1" applyBorder="1"/>
    <xf numFmtId="0" fontId="16" fillId="25" borderId="70" xfId="0" applyFont="1" applyFill="1" applyBorder="1"/>
    <xf numFmtId="4" fontId="67" fillId="0" borderId="0" xfId="0" applyNumberFormat="1" applyFont="1" applyAlignment="1">
      <alignment horizontal="right" vertical="center"/>
    </xf>
    <xf numFmtId="4" fontId="64" fillId="25" borderId="70" xfId="0" applyNumberFormat="1" applyFont="1" applyFill="1" applyBorder="1" applyAlignment="1">
      <alignment horizontal="right" vertical="center"/>
    </xf>
    <xf numFmtId="0" fontId="16" fillId="0" borderId="41" xfId="0" applyFont="1" applyBorder="1"/>
    <xf numFmtId="4" fontId="64" fillId="25" borderId="71" xfId="0" applyNumberFormat="1" applyFont="1" applyFill="1" applyBorder="1" applyAlignment="1">
      <alignment horizontal="right" vertical="center"/>
    </xf>
    <xf numFmtId="0" fontId="57" fillId="25" borderId="70" xfId="0" applyFont="1" applyFill="1" applyBorder="1"/>
    <xf numFmtId="4" fontId="64" fillId="0" borderId="42" xfId="0" applyNumberFormat="1" applyFont="1" applyBorder="1" applyAlignment="1">
      <alignment horizontal="right" vertical="center"/>
    </xf>
    <xf numFmtId="4" fontId="63" fillId="24" borderId="72" xfId="0" applyNumberFormat="1" applyFont="1" applyFill="1" applyBorder="1" applyAlignment="1">
      <alignment horizontal="right" vertical="center"/>
    </xf>
    <xf numFmtId="4" fontId="63" fillId="0" borderId="60" xfId="0" applyNumberFormat="1" applyFont="1" applyBorder="1" applyAlignment="1">
      <alignment horizontal="right" vertical="center"/>
    </xf>
    <xf numFmtId="4" fontId="64" fillId="25" borderId="73" xfId="0" applyNumberFormat="1" applyFont="1" applyFill="1" applyBorder="1" applyAlignment="1">
      <alignment horizontal="right" vertical="center"/>
    </xf>
    <xf numFmtId="4" fontId="64" fillId="0" borderId="60" xfId="0" applyNumberFormat="1" applyFont="1" applyBorder="1" applyAlignment="1">
      <alignment horizontal="right" vertical="center"/>
    </xf>
    <xf numFmtId="0" fontId="16" fillId="0" borderId="74" xfId="0" applyFont="1" applyBorder="1"/>
    <xf numFmtId="0" fontId="57" fillId="25" borderId="67" xfId="0" applyFont="1" applyFill="1" applyBorder="1"/>
    <xf numFmtId="4" fontId="64" fillId="25" borderId="75" xfId="0" applyNumberFormat="1" applyFont="1" applyFill="1" applyBorder="1" applyAlignment="1">
      <alignment horizontal="right" vertical="center"/>
    </xf>
    <xf numFmtId="4" fontId="63" fillId="0" borderId="62" xfId="0" applyNumberFormat="1" applyFont="1" applyBorder="1" applyAlignment="1">
      <alignment horizontal="right" vertical="center"/>
    </xf>
    <xf numFmtId="4" fontId="64" fillId="25" borderId="72" xfId="0" applyNumberFormat="1" applyFont="1" applyFill="1" applyBorder="1" applyAlignment="1">
      <alignment horizontal="right" vertical="center"/>
    </xf>
    <xf numFmtId="0" fontId="63" fillId="24" borderId="5" xfId="0" applyFont="1" applyFill="1" applyBorder="1" applyAlignment="1">
      <alignment horizontal="right" vertical="center"/>
    </xf>
    <xf numFmtId="0" fontId="63" fillId="0" borderId="0" xfId="0" applyFont="1" applyAlignment="1">
      <alignment horizontal="right" vertical="center"/>
    </xf>
    <xf numFmtId="0" fontId="64" fillId="25" borderId="68" xfId="0" applyFont="1" applyFill="1" applyBorder="1" applyAlignment="1">
      <alignment horizontal="right" vertical="center"/>
    </xf>
    <xf numFmtId="0" fontId="64" fillId="0" borderId="0" xfId="0" applyFont="1" applyAlignment="1">
      <alignment horizontal="right" vertical="center"/>
    </xf>
    <xf numFmtId="4" fontId="69" fillId="0" borderId="41" xfId="0" applyNumberFormat="1" applyFont="1" applyBorder="1" applyAlignment="1">
      <alignment horizontal="left" vertical="center"/>
    </xf>
    <xf numFmtId="0" fontId="60" fillId="0" borderId="48" xfId="0" applyFont="1" applyBorder="1" applyAlignment="1">
      <alignment horizontal="left" vertical="center"/>
    </xf>
    <xf numFmtId="0" fontId="18" fillId="0" borderId="60" xfId="0" applyFont="1" applyBorder="1"/>
    <xf numFmtId="4" fontId="63" fillId="24" borderId="76" xfId="0" applyNumberFormat="1" applyFont="1" applyFill="1" applyBorder="1" applyAlignment="1">
      <alignment horizontal="right" vertical="center"/>
    </xf>
    <xf numFmtId="4" fontId="63" fillId="0" borderId="57" xfId="0" applyNumberFormat="1" applyFont="1" applyBorder="1" applyAlignment="1">
      <alignment horizontal="right" vertical="center"/>
    </xf>
    <xf numFmtId="4" fontId="64" fillId="0" borderId="57" xfId="0" applyNumberFormat="1" applyFont="1" applyBorder="1" applyAlignment="1">
      <alignment horizontal="right" vertical="center"/>
    </xf>
    <xf numFmtId="4" fontId="60" fillId="0" borderId="35" xfId="0" applyNumberFormat="1" applyFont="1" applyBorder="1" applyAlignment="1">
      <alignment horizontal="left" vertical="center"/>
    </xf>
    <xf numFmtId="4" fontId="63" fillId="24" borderId="64" xfId="0" applyNumberFormat="1" applyFont="1" applyFill="1" applyBorder="1" applyAlignment="1">
      <alignment horizontal="right" vertical="center"/>
    </xf>
    <xf numFmtId="4" fontId="63" fillId="0" borderId="37" xfId="0" applyNumberFormat="1" applyFont="1" applyBorder="1" applyAlignment="1">
      <alignment horizontal="right" vertical="center"/>
    </xf>
    <xf numFmtId="4" fontId="64" fillId="25" borderId="64" xfId="0" applyNumberFormat="1" applyFont="1" applyFill="1" applyBorder="1" applyAlignment="1">
      <alignment horizontal="right" vertical="center"/>
    </xf>
    <xf numFmtId="4" fontId="64" fillId="0" borderId="36" xfId="0" applyNumberFormat="1" applyFont="1" applyBorder="1" applyAlignment="1">
      <alignment horizontal="right" vertical="center"/>
    </xf>
    <xf numFmtId="0" fontId="61" fillId="0" borderId="0" xfId="0" applyFont="1"/>
    <xf numFmtId="0" fontId="37" fillId="0" borderId="0" xfId="0" applyFont="1" applyAlignment="1">
      <alignment horizontal="right" vertical="center"/>
    </xf>
    <xf numFmtId="49" fontId="37" fillId="0" borderId="0" xfId="0" applyNumberFormat="1" applyFont="1" applyAlignment="1">
      <alignment horizontal="center" vertical="center"/>
    </xf>
    <xf numFmtId="49" fontId="39" fillId="0" borderId="0" xfId="0" applyNumberFormat="1" applyFont="1" applyAlignment="1">
      <alignment horizontal="center"/>
    </xf>
    <xf numFmtId="0" fontId="39" fillId="0" borderId="0" xfId="0" applyFont="1" applyAlignment="1">
      <alignment horizontal="right"/>
    </xf>
    <xf numFmtId="167" fontId="39" fillId="0" borderId="0" xfId="0" applyNumberFormat="1" applyFont="1" applyAlignment="1">
      <alignment horizontal="center"/>
    </xf>
    <xf numFmtId="164" fontId="37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right"/>
    </xf>
    <xf numFmtId="165" fontId="70" fillId="0" borderId="0" xfId="0" applyNumberFormat="1" applyFont="1" applyAlignment="1">
      <alignment horizontal="right"/>
    </xf>
    <xf numFmtId="0" fontId="37" fillId="0" borderId="0" xfId="0" applyFont="1" applyAlignment="1">
      <alignment horizontal="right"/>
    </xf>
    <xf numFmtId="0" fontId="71" fillId="0" borderId="0" xfId="0" applyFont="1"/>
    <xf numFmtId="0" fontId="71" fillId="3" borderId="0" xfId="0" applyFont="1" applyFill="1" applyAlignment="1">
      <alignment horizontal="center"/>
    </xf>
    <xf numFmtId="165" fontId="8" fillId="11" borderId="0" xfId="0" applyNumberFormat="1" applyFont="1" applyFill="1" applyAlignment="1">
      <alignment horizontal="center"/>
    </xf>
    <xf numFmtId="0" fontId="0" fillId="0" borderId="0" xfId="0"/>
    <xf numFmtId="2" fontId="3" fillId="2" borderId="1" xfId="0" applyNumberFormat="1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2" fontId="3" fillId="2" borderId="4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right"/>
    </xf>
    <xf numFmtId="0" fontId="10" fillId="0" borderId="0" xfId="0" applyFont="1" applyAlignment="1">
      <alignment horizontal="center"/>
    </xf>
    <xf numFmtId="165" fontId="23" fillId="7" borderId="1" xfId="0" applyNumberFormat="1" applyFont="1" applyFill="1" applyBorder="1" applyAlignment="1">
      <alignment horizontal="center" vertical="center"/>
    </xf>
    <xf numFmtId="165" fontId="22" fillId="2" borderId="1" xfId="0" applyNumberFormat="1" applyFont="1" applyFill="1" applyBorder="1" applyAlignment="1">
      <alignment horizontal="center" vertical="center"/>
    </xf>
    <xf numFmtId="2" fontId="14" fillId="2" borderId="7" xfId="0" applyNumberFormat="1" applyFont="1" applyFill="1" applyBorder="1" applyAlignment="1">
      <alignment horizontal="center" vertical="center" textRotation="255"/>
    </xf>
    <xf numFmtId="0" fontId="4" fillId="0" borderId="26" xfId="0" applyFont="1" applyBorder="1"/>
    <xf numFmtId="0" fontId="4" fillId="0" borderId="33" xfId="0" applyFont="1" applyBorder="1"/>
    <xf numFmtId="2" fontId="15" fillId="2" borderId="1" xfId="0" applyNumberFormat="1" applyFont="1" applyFill="1" applyBorder="1" applyAlignment="1">
      <alignment horizontal="center"/>
    </xf>
    <xf numFmtId="2" fontId="15" fillId="2" borderId="24" xfId="0" applyNumberFormat="1" applyFont="1" applyFill="1" applyBorder="1" applyAlignment="1">
      <alignment horizontal="center"/>
    </xf>
    <xf numFmtId="0" fontId="4" fillId="0" borderId="25" xfId="0" applyFont="1" applyBorder="1"/>
    <xf numFmtId="1" fontId="22" fillId="2" borderId="31" xfId="0" applyNumberFormat="1" applyFont="1" applyFill="1" applyBorder="1" applyAlignment="1">
      <alignment horizontal="center" vertical="center"/>
    </xf>
    <xf numFmtId="0" fontId="4" fillId="0" borderId="32" xfId="0" applyFont="1" applyBorder="1"/>
    <xf numFmtId="165" fontId="24" fillId="13" borderId="0" xfId="0" applyNumberFormat="1" applyFont="1" applyFill="1" applyAlignment="1">
      <alignment horizontal="center" vertical="center"/>
    </xf>
    <xf numFmtId="165" fontId="25" fillId="14" borderId="0" xfId="0" applyNumberFormat="1" applyFont="1" applyFill="1" applyAlignment="1">
      <alignment horizontal="center" vertical="center"/>
    </xf>
    <xf numFmtId="4" fontId="20" fillId="0" borderId="35" xfId="0" applyNumberFormat="1" applyFont="1" applyBorder="1" applyAlignment="1">
      <alignment horizontal="center" vertical="center"/>
    </xf>
    <xf numFmtId="0" fontId="4" fillId="0" borderId="36" xfId="0" applyFont="1" applyBorder="1"/>
    <xf numFmtId="0" fontId="4" fillId="0" borderId="37" xfId="0" applyFont="1" applyBorder="1"/>
    <xf numFmtId="4" fontId="26" fillId="6" borderId="35" xfId="0" applyNumberFormat="1" applyFont="1" applyFill="1" applyBorder="1" applyAlignment="1">
      <alignment horizontal="center"/>
    </xf>
    <xf numFmtId="49" fontId="18" fillId="0" borderId="0" xfId="0" applyNumberFormat="1" applyFont="1" applyAlignment="1">
      <alignment horizontal="left"/>
    </xf>
    <xf numFmtId="14" fontId="37" fillId="3" borderId="0" xfId="0" applyNumberFormat="1" applyFont="1" applyFill="1" applyAlignment="1">
      <alignment horizontal="right"/>
    </xf>
    <xf numFmtId="14" fontId="1" fillId="3" borderId="0" xfId="0" applyNumberFormat="1" applyFont="1" applyFill="1" applyAlignment="1">
      <alignment horizontal="center"/>
    </xf>
    <xf numFmtId="2" fontId="15" fillId="2" borderId="35" xfId="0" applyNumberFormat="1" applyFont="1" applyFill="1" applyBorder="1" applyAlignment="1">
      <alignment horizontal="center" vertical="center"/>
    </xf>
    <xf numFmtId="2" fontId="15" fillId="2" borderId="36" xfId="0" applyNumberFormat="1" applyFont="1" applyFill="1" applyBorder="1" applyAlignment="1">
      <alignment horizontal="center" vertical="center"/>
    </xf>
    <xf numFmtId="14" fontId="34" fillId="3" borderId="0" xfId="0" applyNumberFormat="1" applyFont="1" applyFill="1" applyAlignment="1">
      <alignment horizontal="right" vertical="center"/>
    </xf>
    <xf numFmtId="0" fontId="72" fillId="0" borderId="48" xfId="0" applyFont="1" applyBorder="1" applyAlignment="1">
      <alignment horizontal="center"/>
    </xf>
    <xf numFmtId="0" fontId="4" fillId="0" borderId="48" xfId="0" applyFont="1" applyBorder="1"/>
    <xf numFmtId="0" fontId="37" fillId="0" borderId="0" xfId="0" applyFont="1" applyAlignment="1">
      <alignment horizontal="center" vertical="center"/>
    </xf>
    <xf numFmtId="0" fontId="39" fillId="0" borderId="48" xfId="0" applyFont="1" applyBorder="1" applyAlignment="1">
      <alignment horizontal="center"/>
    </xf>
    <xf numFmtId="0" fontId="13" fillId="0" borderId="49" xfId="0" applyFont="1" applyBorder="1" applyAlignment="1">
      <alignment horizontal="center" vertical="center"/>
    </xf>
    <xf numFmtId="0" fontId="4" fillId="0" borderId="50" xfId="0" applyFont="1" applyBorder="1"/>
    <xf numFmtId="0" fontId="42" fillId="0" borderId="0" xfId="0" applyFont="1" applyAlignment="1">
      <alignment horizontal="center" vertical="center"/>
    </xf>
    <xf numFmtId="4" fontId="42" fillId="0" borderId="0" xfId="0" applyNumberFormat="1" applyFont="1" applyAlignment="1">
      <alignment horizontal="center" vertical="center"/>
    </xf>
    <xf numFmtId="14" fontId="45" fillId="20" borderId="0" xfId="0" applyNumberFormat="1" applyFont="1" applyFill="1" applyAlignment="1">
      <alignment horizontal="center" vertical="center"/>
    </xf>
    <xf numFmtId="14" fontId="42" fillId="0" borderId="0" xfId="0" applyNumberFormat="1" applyFont="1" applyAlignment="1">
      <alignment horizontal="center" vertical="center"/>
    </xf>
    <xf numFmtId="4" fontId="9" fillId="2" borderId="7" xfId="0" applyNumberFormat="1" applyFont="1" applyFill="1" applyBorder="1" applyAlignment="1">
      <alignment horizontal="center"/>
    </xf>
    <xf numFmtId="0" fontId="4" fillId="0" borderId="23" xfId="0" applyFont="1" applyBorder="1"/>
    <xf numFmtId="14" fontId="37" fillId="0" borderId="0" xfId="0" applyNumberFormat="1" applyFont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4" fillId="0" borderId="53" xfId="0" applyFont="1" applyBorder="1"/>
    <xf numFmtId="10" fontId="13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0" fontId="59" fillId="0" borderId="57" xfId="0" applyFont="1" applyBorder="1" applyAlignment="1">
      <alignment horizontal="left" vertical="center"/>
    </xf>
    <xf numFmtId="0" fontId="4" fillId="0" borderId="57" xfId="0" applyFont="1" applyBorder="1"/>
    <xf numFmtId="0" fontId="15" fillId="18" borderId="1" xfId="0" applyFont="1" applyFill="1" applyBorder="1" applyAlignment="1">
      <alignment horizontal="center"/>
    </xf>
    <xf numFmtId="0" fontId="56" fillId="0" borderId="0" xfId="0" applyFont="1" applyAlignment="1">
      <alignment horizontal="center" vertical="center"/>
    </xf>
    <xf numFmtId="0" fontId="59" fillId="0" borderId="41" xfId="0" applyFont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59" fillId="0" borderId="48" xfId="0" applyFont="1" applyBorder="1" applyAlignment="1">
      <alignment horizontal="center" vertical="center"/>
    </xf>
    <xf numFmtId="4" fontId="63" fillId="24" borderId="61" xfId="0" applyNumberFormat="1" applyFont="1" applyFill="1" applyBorder="1" applyAlignment="1">
      <alignment horizontal="center" vertical="center"/>
    </xf>
    <xf numFmtId="0" fontId="4" fillId="0" borderId="62" xfId="0" applyFont="1" applyBorder="1"/>
    <xf numFmtId="0" fontId="61" fillId="25" borderId="58" xfId="0" applyFont="1" applyFill="1" applyBorder="1" applyAlignment="1">
      <alignment horizontal="center" vertical="center"/>
    </xf>
    <xf numFmtId="0" fontId="4" fillId="0" borderId="59" xfId="0" applyFont="1" applyBorder="1"/>
    <xf numFmtId="0" fontId="60" fillId="24" borderId="58" xfId="0" applyFont="1" applyFill="1" applyBorder="1" applyAlignment="1">
      <alignment horizontal="center" vertical="center"/>
    </xf>
    <xf numFmtId="0" fontId="60" fillId="0" borderId="60" xfId="0" applyFont="1" applyBorder="1" applyAlignment="1">
      <alignment horizontal="left" vertical="center"/>
    </xf>
    <xf numFmtId="0" fontId="4" fillId="0" borderId="60" xfId="0" applyFont="1" applyBorder="1"/>
    <xf numFmtId="0" fontId="65" fillId="0" borderId="57" xfId="0" applyFont="1" applyBorder="1" applyAlignment="1">
      <alignment horizontal="left" vertical="center"/>
    </xf>
    <xf numFmtId="0" fontId="59" fillId="0" borderId="0" xfId="0" applyFont="1" applyAlignment="1">
      <alignment horizontal="left"/>
    </xf>
    <xf numFmtId="0" fontId="68" fillId="0" borderId="0" xfId="0" applyFont="1" applyAlignment="1">
      <alignment horizontal="left" vertical="center"/>
    </xf>
  </cellXfs>
  <cellStyles count="1">
    <cellStyle name="Normal" xfId="0" builtinId="0"/>
  </cellStyles>
  <dxfs count="52">
    <dxf>
      <font>
        <color theme="0"/>
      </font>
      <fill>
        <patternFill patternType="solid">
          <fgColor theme="0"/>
          <bgColor theme="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theme="0"/>
          <bgColor theme="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theme="0"/>
          <bgColor theme="0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rgb="FFFFFFFF"/>
      </font>
      <fill>
        <patternFill patternType="solid">
          <fgColor theme="0"/>
          <bgColor theme="0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0000"/>
      </font>
      <fill>
        <patternFill patternType="solid">
          <fgColor rgb="FF969696"/>
          <bgColor rgb="FF96969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ont>
        <color theme="1"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ont>
        <b/>
        <color rgb="FFCC0000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'FLUJO DE CAJA'!$Q$1:$Q$2</c:f>
              <c:strCache>
                <c:ptCount val="2"/>
                <c:pt idx="0">
                  <c:v>EGRESOS</c:v>
                </c:pt>
                <c:pt idx="1">
                  <c:v>GASTOS</c:v>
                </c:pt>
              </c:strCache>
            </c:strRef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'FLUJO DE CAJA'!$A$3:$A$14</c:f>
              <c:strCache>
                <c:ptCount val="12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  <c:pt idx="8">
                  <c:v>ENERO</c:v>
                </c:pt>
                <c:pt idx="9">
                  <c:v>FEBRERO</c:v>
                </c:pt>
                <c:pt idx="10">
                  <c:v>MARZO</c:v>
                </c:pt>
                <c:pt idx="11">
                  <c:v>ABRIL</c:v>
                </c:pt>
              </c:strCache>
            </c:strRef>
          </c:cat>
          <c:val>
            <c:numRef>
              <c:f>'FLUJO DE CAJA'!$Q$3:$Q$14</c:f>
              <c:numCache>
                <c:formatCode>#,##0.00</c:formatCode>
                <c:ptCount val="12"/>
                <c:pt idx="0">
                  <c:v>128327.58</c:v>
                </c:pt>
                <c:pt idx="1">
                  <c:v>236059.15000000002</c:v>
                </c:pt>
                <c:pt idx="2">
                  <c:v>487489.82</c:v>
                </c:pt>
                <c:pt idx="3">
                  <c:v>314224.12000000005</c:v>
                </c:pt>
                <c:pt idx="4">
                  <c:v>311838.78999999998</c:v>
                </c:pt>
                <c:pt idx="5">
                  <c:v>301379.15000000002</c:v>
                </c:pt>
                <c:pt idx="6">
                  <c:v>277850.88</c:v>
                </c:pt>
                <c:pt idx="7">
                  <c:v>312116.07</c:v>
                </c:pt>
                <c:pt idx="8">
                  <c:v>442167.6</c:v>
                </c:pt>
                <c:pt idx="9">
                  <c:v>483366.38699999999</c:v>
                </c:pt>
                <c:pt idx="10">
                  <c:v>961124.59000000008</c:v>
                </c:pt>
                <c:pt idx="11">
                  <c:v>267692.2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5C2-47A6-9744-5DA9AA64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7288149"/>
        <c:axId val="1755192486"/>
      </c:barChart>
      <c:lineChart>
        <c:grouping val="standard"/>
        <c:varyColors val="0"/>
        <c:ser>
          <c:idx val="1"/>
          <c:order val="1"/>
          <c:tx>
            <c:strRef>
              <c:f>'FLUJO DE CAJA'!$P$1:$P$2</c:f>
              <c:strCache>
                <c:ptCount val="2"/>
                <c:pt idx="0">
                  <c:v>EGRESOS</c:v>
                </c:pt>
                <c:pt idx="1">
                  <c:v>INGRESOS</c:v>
                </c:pt>
              </c:strCache>
            </c:strRef>
          </c:tx>
          <c:spPr>
            <a:ln w="38100" cmpd="sng">
              <a:solidFill>
                <a:srgbClr val="C0504D"/>
              </a:solidFill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cat>
            <c:strRef>
              <c:f>'FLUJO DE CAJA'!$A$3:$A$14</c:f>
              <c:strCache>
                <c:ptCount val="12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  <c:pt idx="3">
                  <c:v>AGOSTO</c:v>
                </c:pt>
                <c:pt idx="4">
                  <c:v>SEPTIEMBRE</c:v>
                </c:pt>
                <c:pt idx="5">
                  <c:v>OCTUBRE</c:v>
                </c:pt>
                <c:pt idx="6">
                  <c:v>NOVIEMBRE</c:v>
                </c:pt>
                <c:pt idx="7">
                  <c:v>DICIEMBRE</c:v>
                </c:pt>
                <c:pt idx="8">
                  <c:v>ENERO</c:v>
                </c:pt>
                <c:pt idx="9">
                  <c:v>FEBRERO</c:v>
                </c:pt>
                <c:pt idx="10">
                  <c:v>MARZO</c:v>
                </c:pt>
                <c:pt idx="11">
                  <c:v>ABRIL</c:v>
                </c:pt>
              </c:strCache>
            </c:strRef>
          </c:cat>
          <c:val>
            <c:numRef>
              <c:f>'FLUJO DE CAJA'!$P$3:$P$14</c:f>
              <c:numCache>
                <c:formatCode>#,##0.00</c:formatCode>
                <c:ptCount val="12"/>
                <c:pt idx="0">
                  <c:v>237.92000000000002</c:v>
                </c:pt>
                <c:pt idx="1">
                  <c:v>10674.23</c:v>
                </c:pt>
                <c:pt idx="2">
                  <c:v>782577.8</c:v>
                </c:pt>
                <c:pt idx="3">
                  <c:v>21397.37</c:v>
                </c:pt>
                <c:pt idx="4">
                  <c:v>9531.7000000000007</c:v>
                </c:pt>
                <c:pt idx="5">
                  <c:v>17379.310000000001</c:v>
                </c:pt>
                <c:pt idx="6">
                  <c:v>4033.43</c:v>
                </c:pt>
                <c:pt idx="7">
                  <c:v>3515.19</c:v>
                </c:pt>
                <c:pt idx="8">
                  <c:v>40738.85</c:v>
                </c:pt>
                <c:pt idx="9">
                  <c:v>233527.73</c:v>
                </c:pt>
                <c:pt idx="10">
                  <c:v>553361.68000000005</c:v>
                </c:pt>
                <c:pt idx="11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A6-9744-5DA9AA64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288149"/>
        <c:axId val="1755192486"/>
      </c:lineChart>
      <c:catAx>
        <c:axId val="14072881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Arial Narrow"/>
              </a:defRPr>
            </a:pPr>
            <a:endParaRPr lang="es-AR"/>
          </a:p>
        </c:txPr>
        <c:crossAx val="1755192486"/>
        <c:crosses val="autoZero"/>
        <c:auto val="1"/>
        <c:lblAlgn val="ctr"/>
        <c:lblOffset val="100"/>
        <c:noMultiLvlLbl val="1"/>
      </c:catAx>
      <c:valAx>
        <c:axId val="1755192486"/>
        <c:scaling>
          <c:orientation val="minMax"/>
          <c:max val="30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sz="1000" b="0">
                <a:solidFill>
                  <a:srgbClr val="000000"/>
                </a:solidFill>
                <a:latin typeface="Arial Narrow"/>
              </a:defRPr>
            </a:pPr>
            <a:endParaRPr lang="es-AR"/>
          </a:p>
        </c:txPr>
        <c:crossAx val="14072881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39</xdr:row>
      <xdr:rowOff>38100</xdr:rowOff>
    </xdr:from>
    <xdr:ext cx="14697075" cy="41052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993"/>
  <sheetViews>
    <sheetView workbookViewId="0">
      <selection sqref="A1:Z1048576"/>
    </sheetView>
  </sheetViews>
  <sheetFormatPr baseColWidth="10" defaultColWidth="12.5703125" defaultRowHeight="15.75" customHeight="1"/>
  <cols>
    <col min="1" max="1" width="23.28515625" customWidth="1"/>
    <col min="2" max="2" width="10" bestFit="1" customWidth="1"/>
    <col min="3" max="3" width="12.28515625" bestFit="1" customWidth="1"/>
    <col min="4" max="4" width="13.42578125" bestFit="1" customWidth="1"/>
    <col min="5" max="5" width="14" bestFit="1" customWidth="1"/>
    <col min="6" max="6" width="10.7109375" bestFit="1" customWidth="1"/>
    <col min="7" max="7" width="15.5703125" bestFit="1" customWidth="1"/>
    <col min="8" max="8" width="13.42578125" bestFit="1" customWidth="1"/>
    <col min="9" max="9" width="14" bestFit="1" customWidth="1"/>
    <col min="10" max="10" width="11.28515625" bestFit="1" customWidth="1"/>
    <col min="11" max="11" width="10.7109375" bestFit="1" customWidth="1"/>
    <col min="12" max="13" width="15" bestFit="1" customWidth="1"/>
    <col min="14" max="14" width="12.5703125" bestFit="1" customWidth="1"/>
    <col min="15" max="15" width="12.42578125" bestFit="1" customWidth="1"/>
    <col min="16" max="16" width="11.28515625" bestFit="1" customWidth="1"/>
    <col min="17" max="17" width="12.28515625" bestFit="1" customWidth="1"/>
    <col min="18" max="18" width="18" bestFit="1" customWidth="1"/>
    <col min="19" max="19" width="14.85546875" bestFit="1" customWidth="1"/>
    <col min="21" max="21" width="11.85546875" bestFit="1" customWidth="1"/>
    <col min="22" max="25" width="15" bestFit="1" customWidth="1"/>
    <col min="26" max="26" width="14" bestFit="1" customWidth="1"/>
  </cols>
  <sheetData>
    <row r="1" spans="1:36" ht="24.75" customHeight="1">
      <c r="A1" s="1" t="s">
        <v>0</v>
      </c>
      <c r="B1" s="1"/>
      <c r="C1" s="1"/>
      <c r="D1" s="2"/>
      <c r="E1" s="457" t="s">
        <v>1</v>
      </c>
      <c r="F1" s="458"/>
      <c r="G1" s="458"/>
      <c r="H1" s="459"/>
      <c r="I1" s="460" t="s">
        <v>2</v>
      </c>
      <c r="J1" s="458"/>
      <c r="K1" s="458"/>
      <c r="L1" s="458"/>
      <c r="M1" s="458"/>
      <c r="N1" s="458"/>
      <c r="O1" s="459"/>
      <c r="P1" s="1"/>
      <c r="Q1" s="3"/>
      <c r="R1" s="4"/>
      <c r="S1" s="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75" customHeight="1">
      <c r="A2" s="5"/>
      <c r="B2" s="6" t="s">
        <v>3</v>
      </c>
      <c r="C2" s="7" t="s">
        <v>4</v>
      </c>
      <c r="D2" s="8" t="s">
        <v>5</v>
      </c>
      <c r="E2" s="9" t="s">
        <v>6</v>
      </c>
      <c r="F2" s="9" t="s">
        <v>7</v>
      </c>
      <c r="G2" s="9" t="s">
        <v>8</v>
      </c>
      <c r="H2" s="10" t="s">
        <v>9</v>
      </c>
      <c r="I2" s="11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9" t="s">
        <v>16</v>
      </c>
      <c r="P2" s="8" t="s">
        <v>1</v>
      </c>
      <c r="Q2" s="12" t="s">
        <v>17</v>
      </c>
      <c r="R2" s="8" t="s">
        <v>18</v>
      </c>
      <c r="S2" s="13"/>
      <c r="T2" s="13"/>
      <c r="U2" s="13"/>
      <c r="V2" s="13"/>
      <c r="W2" s="13"/>
      <c r="X2" s="13"/>
      <c r="Y2" s="13"/>
      <c r="Z2" s="13"/>
      <c r="AA2" s="13"/>
    </row>
    <row r="3" spans="1:36" ht="12.75" customHeight="1">
      <c r="A3" s="14" t="s">
        <v>19</v>
      </c>
      <c r="B3" s="15">
        <v>44676</v>
      </c>
      <c r="C3" s="15">
        <v>44705</v>
      </c>
      <c r="D3" s="16">
        <v>0</v>
      </c>
      <c r="E3" s="17">
        <f>'RESUMEN CIERRE'!E21+'RESUMEN CIERRE'!E39+'RESUMEN CIERRE'!E57</f>
        <v>0</v>
      </c>
      <c r="F3" s="18">
        <f>'RESUMEN CIERRE'!F39+'RESUMEN CIERRE'!G57</f>
        <v>237.92000000000002</v>
      </c>
      <c r="G3" s="18">
        <f>'RESUMEN CIERRE'!F57</f>
        <v>0</v>
      </c>
      <c r="H3" s="18">
        <f>'RESUMEN CIERRE'!F21+'RESUMEN CIERRE'!G39+'RESUMEN CIERRE'!H57</f>
        <v>0</v>
      </c>
      <c r="I3" s="19">
        <f>'RESUMEN CIERRE'!I57</f>
        <v>0</v>
      </c>
      <c r="J3" s="20">
        <f>'RESUMEN CIERRE'!G21+'RESUMEN CIERRE'!H39+'RESUMEN CIERRE'!J57</f>
        <v>0</v>
      </c>
      <c r="K3" s="20">
        <f>'RESUMEN CIERRE'!H21+'RESUMEN CIERRE'!I39+'RESUMEN CIERRE'!K57</f>
        <v>23614.240000000002</v>
      </c>
      <c r="L3" s="21">
        <f>'RESUMEN CIERRE'!I21+'RESUMEN CIERRE'!J39+'RESUMEN CIERRE'!L57</f>
        <v>76240.34</v>
      </c>
      <c r="M3" s="20">
        <f>'RESUMEN CIERRE'!J21+'RESUMEN CIERRE'!K39+'RESUMEN CIERRE'!M57</f>
        <v>28020</v>
      </c>
      <c r="N3" s="20">
        <f>'RESUMEN CIERRE'!N57</f>
        <v>370</v>
      </c>
      <c r="O3" s="22">
        <f>'RESUMEN CIERRE'!K21+'RESUMEN CIERRE'!L39+'RESUMEN CIERRE'!O57</f>
        <v>83</v>
      </c>
      <c r="P3" s="23">
        <f t="shared" ref="P3:P14" si="0">SUM(E3:H3)</f>
        <v>237.92000000000002</v>
      </c>
      <c r="Q3" s="24">
        <f t="shared" ref="Q3:Q14" si="1">SUM(I3:O3)</f>
        <v>128327.58</v>
      </c>
      <c r="R3" s="16">
        <f t="shared" ref="R3:R14" si="2">D3+P3-Q3</f>
        <v>-128089.66</v>
      </c>
      <c r="S3" s="13"/>
      <c r="T3" s="13"/>
      <c r="U3" s="13"/>
      <c r="V3" s="13"/>
      <c r="W3" s="13"/>
      <c r="X3" s="13"/>
      <c r="Y3" s="13"/>
      <c r="Z3" s="13"/>
      <c r="AA3" s="13"/>
    </row>
    <row r="4" spans="1:36" ht="12.75" customHeight="1">
      <c r="A4" s="14" t="s">
        <v>20</v>
      </c>
      <c r="B4" s="15">
        <v>44706</v>
      </c>
      <c r="C4" s="15">
        <v>44736</v>
      </c>
      <c r="D4" s="16">
        <f t="shared" ref="D4:D14" si="3">R3</f>
        <v>-128089.66</v>
      </c>
      <c r="E4" s="25">
        <f>'RESUMEN CIERRE'!E22+'RESUMEN CIERRE'!E40+'RESUMEN CIERRE'!E58</f>
        <v>0</v>
      </c>
      <c r="F4" s="16">
        <f>'RESUMEN CIERRE'!F40+'RESUMEN CIERRE'!G58</f>
        <v>474.23000000000013</v>
      </c>
      <c r="G4" s="16">
        <f>'RESUMEN CIERRE'!F58</f>
        <v>0</v>
      </c>
      <c r="H4" s="16">
        <f>'RESUMEN CIERRE'!F22+'RESUMEN CIERRE'!G40+'RESUMEN CIERRE'!H58</f>
        <v>10200</v>
      </c>
      <c r="I4" s="26">
        <f>'RESUMEN CIERRE'!I58</f>
        <v>0</v>
      </c>
      <c r="J4" s="16">
        <f>'RESUMEN CIERRE'!G22+'RESUMEN CIERRE'!H40+'RESUMEN CIERRE'!J58</f>
        <v>0</v>
      </c>
      <c r="K4" s="16">
        <f>'RESUMEN CIERRE'!H22+'RESUMEN CIERRE'!I40+'RESUMEN CIERRE'!K58</f>
        <v>1207.29</v>
      </c>
      <c r="L4" s="27">
        <f>'RESUMEN CIERRE'!I22+'RESUMEN CIERRE'!J40+'RESUMEN CIERRE'!L58</f>
        <v>99161.860000000015</v>
      </c>
      <c r="M4" s="16">
        <f>'RESUMEN CIERRE'!J22+'RESUMEN CIERRE'!K40+'RESUMEN CIERRE'!M58</f>
        <v>120000</v>
      </c>
      <c r="N4" s="16">
        <f>'RESUMEN CIERRE'!N58</f>
        <v>990</v>
      </c>
      <c r="O4" s="28">
        <f>'RESUMEN CIERRE'!K22+'RESUMEN CIERRE'!L40+'RESUMEN CIERRE'!O58</f>
        <v>14700</v>
      </c>
      <c r="P4" s="23">
        <f t="shared" si="0"/>
        <v>10674.23</v>
      </c>
      <c r="Q4" s="24">
        <f t="shared" si="1"/>
        <v>236059.15000000002</v>
      </c>
      <c r="R4" s="16">
        <f t="shared" si="2"/>
        <v>-353474.58</v>
      </c>
      <c r="S4" s="13"/>
      <c r="T4" s="13"/>
      <c r="U4" s="13"/>
      <c r="V4" s="13"/>
      <c r="W4" s="13"/>
      <c r="X4" s="13"/>
      <c r="Y4" s="13"/>
      <c r="Z4" s="13"/>
      <c r="AA4" s="13"/>
    </row>
    <row r="5" spans="1:36" ht="12.75" customHeight="1">
      <c r="A5" s="14" t="s">
        <v>21</v>
      </c>
      <c r="B5" s="15">
        <v>44737</v>
      </c>
      <c r="C5" s="15">
        <v>44766</v>
      </c>
      <c r="D5" s="16">
        <f t="shared" si="3"/>
        <v>-353474.58</v>
      </c>
      <c r="E5" s="25">
        <f>'RESUMEN CIERRE'!E23+'RESUMEN CIERRE'!E41+'RESUMEN CIERRE'!E59</f>
        <v>0</v>
      </c>
      <c r="F5" s="16">
        <f>'RESUMEN CIERRE'!F41+'RESUMEN CIERRE'!G59</f>
        <v>217.8</v>
      </c>
      <c r="G5" s="16">
        <f>'RESUMEN CIERRE'!F59</f>
        <v>1360</v>
      </c>
      <c r="H5" s="16">
        <f>'RESUMEN CIERRE'!F23+'RESUMEN CIERRE'!G41+'RESUMEN CIERRE'!H59</f>
        <v>781000</v>
      </c>
      <c r="I5" s="26">
        <f>'RESUMEN CIERRE'!I59</f>
        <v>0</v>
      </c>
      <c r="J5" s="16">
        <f>'RESUMEN CIERRE'!G23+'RESUMEN CIERRE'!H41+'RESUMEN CIERRE'!J59</f>
        <v>0</v>
      </c>
      <c r="K5" s="16">
        <f>'RESUMEN CIERRE'!H23+'RESUMEN CIERRE'!I41+'RESUMEN CIERRE'!K59</f>
        <v>7963.84</v>
      </c>
      <c r="L5" s="27">
        <f>'RESUMEN CIERRE'!I23+'RESUMEN CIERRE'!J41+'RESUMEN CIERRE'!L59</f>
        <v>111399.78</v>
      </c>
      <c r="M5" s="16">
        <f>'RESUMEN CIERRE'!J23+'RESUMEN CIERRE'!K41+'RESUMEN CIERRE'!M59</f>
        <v>140010</v>
      </c>
      <c r="N5" s="16">
        <f>'RESUMEN CIERRE'!N59</f>
        <v>1280</v>
      </c>
      <c r="O5" s="28">
        <f>'RESUMEN CIERRE'!K23+'RESUMEN CIERRE'!L41+'RESUMEN CIERRE'!O59</f>
        <v>226836.2</v>
      </c>
      <c r="P5" s="23">
        <f t="shared" si="0"/>
        <v>782577.8</v>
      </c>
      <c r="Q5" s="24">
        <f t="shared" si="1"/>
        <v>487489.82</v>
      </c>
      <c r="R5" s="16">
        <f t="shared" si="2"/>
        <v>-58386.599999999977</v>
      </c>
      <c r="S5" s="13"/>
      <c r="T5" s="13"/>
      <c r="U5" s="13"/>
      <c r="V5" s="13"/>
      <c r="W5" s="13"/>
      <c r="X5" s="13"/>
      <c r="Y5" s="13"/>
      <c r="Z5" s="13"/>
      <c r="AA5" s="13"/>
    </row>
    <row r="6" spans="1:36" ht="12.75" customHeight="1">
      <c r="A6" s="14" t="s">
        <v>22</v>
      </c>
      <c r="B6" s="15">
        <v>44767</v>
      </c>
      <c r="C6" s="15">
        <v>44797</v>
      </c>
      <c r="D6" s="16">
        <f t="shared" si="3"/>
        <v>-58386.599999999977</v>
      </c>
      <c r="E6" s="25">
        <f>'RESUMEN CIERRE'!E24+'RESUMEN CIERRE'!E42+'RESUMEN CIERRE'!E60</f>
        <v>0</v>
      </c>
      <c r="F6" s="16">
        <f>'RESUMEN CIERRE'!F42+'RESUMEN CIERRE'!G60</f>
        <v>500.84000000000003</v>
      </c>
      <c r="G6" s="16">
        <f>'RESUMEN CIERRE'!F60</f>
        <v>0</v>
      </c>
      <c r="H6" s="16">
        <f>'RESUMEN CIERRE'!F24+'RESUMEN CIERRE'!G42+'RESUMEN CIERRE'!H60</f>
        <v>20896.53</v>
      </c>
      <c r="I6" s="26">
        <f>'RESUMEN CIERRE'!I60</f>
        <v>11940</v>
      </c>
      <c r="J6" s="16">
        <f>'RESUMEN CIERRE'!G24+'RESUMEN CIERRE'!H42+'RESUMEN CIERRE'!J60</f>
        <v>0</v>
      </c>
      <c r="K6" s="16">
        <f>'RESUMEN CIERRE'!H24+'RESUMEN CIERRE'!I42+'RESUMEN CIERRE'!K60</f>
        <v>14999.78</v>
      </c>
      <c r="L6" s="27">
        <f>'RESUMEN CIERRE'!I24+'RESUMEN CIERRE'!J42+'RESUMEN CIERRE'!L60</f>
        <v>125427.12</v>
      </c>
      <c r="M6" s="16">
        <f>'RESUMEN CIERRE'!J24+'RESUMEN CIERRE'!K42+'RESUMEN CIERRE'!M60</f>
        <v>136010</v>
      </c>
      <c r="N6" s="16">
        <f>'RESUMEN CIERRE'!N60</f>
        <v>3438.2</v>
      </c>
      <c r="O6" s="28">
        <f>'RESUMEN CIERRE'!K24+'RESUMEN CIERRE'!L42+'RESUMEN CIERRE'!O60</f>
        <v>22409.02</v>
      </c>
      <c r="P6" s="23">
        <f t="shared" si="0"/>
        <v>21397.37</v>
      </c>
      <c r="Q6" s="24">
        <f t="shared" si="1"/>
        <v>314224.12000000005</v>
      </c>
      <c r="R6" s="16">
        <f t="shared" si="2"/>
        <v>-351213.35000000003</v>
      </c>
      <c r="S6" s="13"/>
      <c r="T6" s="13"/>
      <c r="U6" s="13"/>
      <c r="V6" s="13"/>
      <c r="W6" s="13"/>
      <c r="X6" s="13"/>
      <c r="Y6" s="13"/>
      <c r="Z6" s="13"/>
      <c r="AA6" s="13"/>
    </row>
    <row r="7" spans="1:36" ht="12.75" customHeight="1">
      <c r="A7" s="14" t="s">
        <v>23</v>
      </c>
      <c r="B7" s="15">
        <v>44798</v>
      </c>
      <c r="C7" s="15">
        <v>44828</v>
      </c>
      <c r="D7" s="16">
        <f t="shared" si="3"/>
        <v>-351213.35000000003</v>
      </c>
      <c r="E7" s="25">
        <f>'RESUMEN CIERRE'!E25+'RESUMEN CIERRE'!E43+'RESUMEN CIERRE'!E61</f>
        <v>0</v>
      </c>
      <c r="F7" s="16">
        <f>'RESUMEN CIERRE'!F43+'RESUMEN CIERRE'!G61</f>
        <v>601.69999999999993</v>
      </c>
      <c r="G7" s="16">
        <f>'RESUMEN CIERRE'!F61</f>
        <v>1280</v>
      </c>
      <c r="H7" s="16">
        <f>'RESUMEN CIERRE'!F25+'RESUMEN CIERRE'!G43+'RESUMEN CIERRE'!H61</f>
        <v>7650</v>
      </c>
      <c r="I7" s="26">
        <f>'RESUMEN CIERRE'!I61</f>
        <v>12750</v>
      </c>
      <c r="J7" s="16">
        <f>'RESUMEN CIERRE'!G25+'RESUMEN CIERRE'!H43+'RESUMEN CIERRE'!J61</f>
        <v>0</v>
      </c>
      <c r="K7" s="16">
        <f>'RESUMEN CIERRE'!H25+'RESUMEN CIERRE'!I43+'RESUMEN CIERRE'!K61</f>
        <v>18786.129999999997</v>
      </c>
      <c r="L7" s="27">
        <f>'RESUMEN CIERRE'!I25+'RESUMEN CIERRE'!J43+'RESUMEN CIERRE'!L61</f>
        <v>109722.18000000001</v>
      </c>
      <c r="M7" s="16">
        <f>'RESUMEN CIERRE'!J25+'RESUMEN CIERRE'!K43+'RESUMEN CIERRE'!M61</f>
        <v>144340</v>
      </c>
      <c r="N7" s="16">
        <f>'RESUMEN CIERRE'!N61</f>
        <v>10260.61</v>
      </c>
      <c r="O7" s="28">
        <f>'RESUMEN CIERRE'!K25+'RESUMEN CIERRE'!L43+'RESUMEN CIERRE'!O61</f>
        <v>15979.869999999999</v>
      </c>
      <c r="P7" s="23">
        <f t="shared" si="0"/>
        <v>9531.7000000000007</v>
      </c>
      <c r="Q7" s="24">
        <f t="shared" si="1"/>
        <v>311838.78999999998</v>
      </c>
      <c r="R7" s="16">
        <f t="shared" si="2"/>
        <v>-653520.43999999994</v>
      </c>
      <c r="S7" s="13"/>
      <c r="T7" s="13"/>
      <c r="U7" s="13"/>
      <c r="V7" s="13"/>
      <c r="W7" s="13"/>
      <c r="X7" s="13"/>
      <c r="Y7" s="13"/>
      <c r="Z7" s="13"/>
      <c r="AA7" s="13"/>
    </row>
    <row r="8" spans="1:36" ht="12.75" customHeight="1">
      <c r="A8" s="14" t="s">
        <v>24</v>
      </c>
      <c r="B8" s="15">
        <v>44829</v>
      </c>
      <c r="C8" s="15">
        <v>44858</v>
      </c>
      <c r="D8" s="16">
        <f t="shared" si="3"/>
        <v>-653520.43999999994</v>
      </c>
      <c r="E8" s="25">
        <f>'RESUMEN CIERRE'!E26+'RESUMEN CIERRE'!E44+'RESUMEN CIERRE'!E62</f>
        <v>0</v>
      </c>
      <c r="F8" s="16">
        <f>'RESUMEN CIERRE'!F44+'RESUMEN CIERRE'!G62</f>
        <v>598.26</v>
      </c>
      <c r="G8" s="16">
        <f>'RESUMEN CIERRE'!F62</f>
        <v>6781.05</v>
      </c>
      <c r="H8" s="16">
        <f>'RESUMEN CIERRE'!F26+'RESUMEN CIERRE'!G44+'RESUMEN CIERRE'!H62</f>
        <v>10000</v>
      </c>
      <c r="I8" s="26">
        <f>'RESUMEN CIERRE'!I62</f>
        <v>21250</v>
      </c>
      <c r="J8" s="16">
        <f>'RESUMEN CIERRE'!G26+'RESUMEN CIERRE'!H44+'RESUMEN CIERRE'!J62</f>
        <v>0</v>
      </c>
      <c r="K8" s="16">
        <f>'RESUMEN CIERRE'!H26+'RESUMEN CIERRE'!I44+'RESUMEN CIERRE'!K62</f>
        <v>5246.74</v>
      </c>
      <c r="L8" s="27">
        <f>'RESUMEN CIERRE'!I26+'RESUMEN CIERRE'!J44+'RESUMEN CIERRE'!L62</f>
        <v>119234.91</v>
      </c>
      <c r="M8" s="16">
        <f>'RESUMEN CIERRE'!J26+'RESUMEN CIERRE'!K44+'RESUMEN CIERRE'!M62</f>
        <v>140010</v>
      </c>
      <c r="N8" s="16">
        <f>'RESUMEN CIERRE'!N62</f>
        <v>1320</v>
      </c>
      <c r="O8" s="28">
        <f>'RESUMEN CIERRE'!K26+'RESUMEN CIERRE'!L44+'RESUMEN CIERRE'!O62</f>
        <v>14317.5</v>
      </c>
      <c r="P8" s="23">
        <f t="shared" si="0"/>
        <v>17379.310000000001</v>
      </c>
      <c r="Q8" s="24">
        <f t="shared" si="1"/>
        <v>301379.15000000002</v>
      </c>
      <c r="R8" s="16">
        <f t="shared" si="2"/>
        <v>-937520.27999999991</v>
      </c>
      <c r="S8" s="13"/>
      <c r="T8" s="13"/>
      <c r="U8" s="13"/>
      <c r="V8" s="13"/>
      <c r="W8" s="13"/>
      <c r="X8" s="13"/>
      <c r="Y8" s="13"/>
      <c r="Z8" s="13"/>
      <c r="AA8" s="13"/>
    </row>
    <row r="9" spans="1:36" ht="12.75" customHeight="1">
      <c r="A9" s="14" t="s">
        <v>25</v>
      </c>
      <c r="B9" s="15">
        <v>44859</v>
      </c>
      <c r="C9" s="15">
        <v>44889</v>
      </c>
      <c r="D9" s="16">
        <f t="shared" si="3"/>
        <v>-937520.27999999991</v>
      </c>
      <c r="E9" s="25">
        <f>'RESUMEN CIERRE'!E27+'RESUMEN CIERRE'!E45+'RESUMEN CIERRE'!E63</f>
        <v>0</v>
      </c>
      <c r="F9" s="16">
        <f>'RESUMEN CIERRE'!F45+'RESUMEN CIERRE'!G63</f>
        <v>1103.4299999999998</v>
      </c>
      <c r="G9" s="16">
        <f>'RESUMEN CIERRE'!F63</f>
        <v>2930</v>
      </c>
      <c r="H9" s="16">
        <f>'RESUMEN CIERRE'!F27+'RESUMEN CIERRE'!G45+'RESUMEN CIERRE'!H63</f>
        <v>0</v>
      </c>
      <c r="I9" s="26">
        <f>'RESUMEN CIERRE'!I63</f>
        <v>18850</v>
      </c>
      <c r="J9" s="16">
        <f>'RESUMEN CIERRE'!G27+'RESUMEN CIERRE'!H45+'RESUMEN CIERRE'!J63</f>
        <v>0</v>
      </c>
      <c r="K9" s="16">
        <f>'RESUMEN CIERRE'!H27+'RESUMEN CIERRE'!I45+'RESUMEN CIERRE'!K63</f>
        <v>13972.84</v>
      </c>
      <c r="L9" s="27">
        <f>'RESUMEN CIERRE'!I27+'RESUMEN CIERRE'!J45+'RESUMEN CIERRE'!L63</f>
        <v>125058.04</v>
      </c>
      <c r="M9" s="16">
        <f>'RESUMEN CIERRE'!J27+'RESUMEN CIERRE'!K45+'RESUMEN CIERRE'!M63</f>
        <v>118320</v>
      </c>
      <c r="N9" s="16">
        <f>'RESUMEN CIERRE'!N63</f>
        <v>1650</v>
      </c>
      <c r="O9" s="28">
        <f>'RESUMEN CIERRE'!K27+'RESUMEN CIERRE'!L45+'RESUMEN CIERRE'!O63</f>
        <v>0</v>
      </c>
      <c r="P9" s="23">
        <f t="shared" si="0"/>
        <v>4033.43</v>
      </c>
      <c r="Q9" s="24">
        <f t="shared" si="1"/>
        <v>277850.88</v>
      </c>
      <c r="R9" s="16">
        <f t="shared" si="2"/>
        <v>-1211337.73</v>
      </c>
      <c r="S9" s="13"/>
      <c r="T9" s="13"/>
      <c r="U9" s="13"/>
      <c r="V9" s="13"/>
      <c r="W9" s="13"/>
      <c r="X9" s="13"/>
      <c r="Y9" s="13"/>
      <c r="Z9" s="13"/>
      <c r="AA9" s="13"/>
    </row>
    <row r="10" spans="1:36" ht="12.75" customHeight="1">
      <c r="A10" s="14" t="s">
        <v>26</v>
      </c>
      <c r="B10" s="15">
        <v>44890</v>
      </c>
      <c r="C10" s="15">
        <v>44919</v>
      </c>
      <c r="D10" s="16">
        <f t="shared" si="3"/>
        <v>-1211337.73</v>
      </c>
      <c r="E10" s="25">
        <f>'RESUMEN CIERRE'!E28+'RESUMEN CIERRE'!E46+'RESUMEN CIERRE'!E64</f>
        <v>0</v>
      </c>
      <c r="F10" s="16">
        <f>'RESUMEN CIERRE'!F46+'RESUMEN CIERRE'!G64</f>
        <v>1021.09</v>
      </c>
      <c r="G10" s="16">
        <f>'RESUMEN CIERRE'!F64</f>
        <v>2494.1</v>
      </c>
      <c r="H10" s="16">
        <f>'RESUMEN CIERRE'!F28+'RESUMEN CIERRE'!G46+'RESUMEN CIERRE'!H64</f>
        <v>0</v>
      </c>
      <c r="I10" s="26">
        <f>'RESUMEN CIERRE'!I64</f>
        <v>5547.95</v>
      </c>
      <c r="J10" s="16">
        <f>'RESUMEN CIERRE'!G28+'RESUMEN CIERRE'!H46+'RESUMEN CIERRE'!J64</f>
        <v>0</v>
      </c>
      <c r="K10" s="16">
        <f>'RESUMEN CIERRE'!H28+'RESUMEN CIERRE'!I46+'RESUMEN CIERRE'!K64</f>
        <v>5557.9500000000007</v>
      </c>
      <c r="L10" s="27">
        <f>'RESUMEN CIERRE'!I28+'RESUMEN CIERRE'!J46+'RESUMEN CIERRE'!L64</f>
        <v>96990.17</v>
      </c>
      <c r="M10" s="16">
        <f>'RESUMEN CIERRE'!J28+'RESUMEN CIERRE'!K46+'RESUMEN CIERRE'!M64</f>
        <v>200020</v>
      </c>
      <c r="N10" s="16">
        <f>'RESUMEN CIERRE'!N64</f>
        <v>0</v>
      </c>
      <c r="O10" s="28">
        <f>'RESUMEN CIERRE'!K28+'RESUMEN CIERRE'!L46+'RESUMEN CIERRE'!O64</f>
        <v>4000</v>
      </c>
      <c r="P10" s="23">
        <f t="shared" si="0"/>
        <v>3515.19</v>
      </c>
      <c r="Q10" s="24">
        <f t="shared" si="1"/>
        <v>312116.07</v>
      </c>
      <c r="R10" s="16">
        <f t="shared" si="2"/>
        <v>-1519938.61</v>
      </c>
      <c r="S10" s="13"/>
      <c r="T10" s="13"/>
      <c r="U10" s="13"/>
      <c r="V10" s="13"/>
      <c r="W10" s="13"/>
      <c r="X10" s="13"/>
      <c r="Y10" s="13"/>
      <c r="Z10" s="13"/>
      <c r="AA10" s="13"/>
    </row>
    <row r="11" spans="1:36" ht="12.75" customHeight="1">
      <c r="A11" s="14" t="s">
        <v>27</v>
      </c>
      <c r="B11" s="15">
        <v>44920</v>
      </c>
      <c r="C11" s="15">
        <v>44950</v>
      </c>
      <c r="D11" s="16">
        <f t="shared" si="3"/>
        <v>-1519938.61</v>
      </c>
      <c r="E11" s="25">
        <f>'RESUMEN CIERRE'!E29+'RESUMEN CIERRE'!E47+'RESUMEN CIERRE'!E65</f>
        <v>0</v>
      </c>
      <c r="F11" s="16">
        <f>'RESUMEN CIERRE'!F47+'RESUMEN CIERRE'!G65</f>
        <v>738.85</v>
      </c>
      <c r="G11" s="16">
        <f>'RESUMEN CIERRE'!F65</f>
        <v>0</v>
      </c>
      <c r="H11" s="16">
        <f>'RESUMEN CIERRE'!F29+'RESUMEN CIERRE'!G47+'RESUMEN CIERRE'!H65</f>
        <v>40000</v>
      </c>
      <c r="I11" s="26">
        <f>'RESUMEN CIERRE'!I65</f>
        <v>73104</v>
      </c>
      <c r="J11" s="16">
        <f>'RESUMEN CIERRE'!G29+'RESUMEN CIERRE'!H47+'RESUMEN CIERRE'!J65</f>
        <v>0</v>
      </c>
      <c r="K11" s="16">
        <f>'RESUMEN CIERRE'!H29+'RESUMEN CIERRE'!I47+'RESUMEN CIERRE'!K65</f>
        <v>35595.949999999997</v>
      </c>
      <c r="L11" s="27">
        <f>'RESUMEN CIERRE'!I29+'RESUMEN CIERRE'!J47+'RESUMEN CIERRE'!L65</f>
        <v>124552.78</v>
      </c>
      <c r="M11" s="16">
        <f>'RESUMEN CIERRE'!J29+'RESUMEN CIERRE'!K47+'RESUMEN CIERRE'!M65</f>
        <v>120000</v>
      </c>
      <c r="N11" s="16">
        <f>'RESUMEN CIERRE'!N65</f>
        <v>36814.870000000003</v>
      </c>
      <c r="O11" s="28">
        <f>'RESUMEN CIERRE'!K29+'RESUMEN CIERRE'!L47+'RESUMEN CIERRE'!O65</f>
        <v>52100</v>
      </c>
      <c r="P11" s="23">
        <f t="shared" si="0"/>
        <v>40738.85</v>
      </c>
      <c r="Q11" s="24">
        <f t="shared" si="1"/>
        <v>442167.6</v>
      </c>
      <c r="R11" s="16">
        <f t="shared" si="2"/>
        <v>-1921367.3599999999</v>
      </c>
      <c r="S11" s="13"/>
      <c r="T11" s="13"/>
      <c r="U11" s="13"/>
      <c r="V11" s="13"/>
      <c r="W11" s="13"/>
      <c r="X11" s="13"/>
      <c r="Y11" s="13"/>
      <c r="Z11" s="13"/>
      <c r="AA11" s="13"/>
    </row>
    <row r="12" spans="1:36" ht="12.75" customHeight="1">
      <c r="A12" s="14" t="s">
        <v>28</v>
      </c>
      <c r="B12" s="15">
        <v>44951</v>
      </c>
      <c r="C12" s="15">
        <v>44981</v>
      </c>
      <c r="D12" s="16">
        <f t="shared" si="3"/>
        <v>-1921367.3599999999</v>
      </c>
      <c r="E12" s="25">
        <f>'RESUMEN CIERRE'!E30+'RESUMEN CIERRE'!E48+'RESUMEN CIERRE'!E66</f>
        <v>0</v>
      </c>
      <c r="F12" s="16">
        <f>'RESUMEN CIERRE'!F48+'RESUMEN CIERRE'!G66</f>
        <v>1800.05</v>
      </c>
      <c r="G12" s="16">
        <f>'RESUMEN CIERRE'!F66</f>
        <v>31727.68</v>
      </c>
      <c r="H12" s="16">
        <f>'RESUMEN CIERRE'!F30+'RESUMEN CIERRE'!G48+'RESUMEN CIERRE'!H66</f>
        <v>200000</v>
      </c>
      <c r="I12" s="26">
        <f>'RESUMEN CIERRE'!I66</f>
        <v>14021</v>
      </c>
      <c r="J12" s="16">
        <f>'RESUMEN CIERRE'!G30+'RESUMEN CIERRE'!H48+'RESUMEN CIERRE'!J66</f>
        <v>0</v>
      </c>
      <c r="K12" s="16">
        <f>'RESUMEN CIERRE'!H30+'RESUMEN CIERRE'!I48+'RESUMEN CIERRE'!K66</f>
        <v>19633.627</v>
      </c>
      <c r="L12" s="27">
        <f>'RESUMEN CIERRE'!I30+'RESUMEN CIERRE'!J48+'RESUMEN CIERRE'!L66</f>
        <v>118711.76000000001</v>
      </c>
      <c r="M12" s="16">
        <f>'RESUMEN CIERRE'!J30+'RESUMEN CIERRE'!K48+'RESUMEN CIERRE'!M66</f>
        <v>180000</v>
      </c>
      <c r="N12" s="16">
        <f>'RESUMEN CIERRE'!N66</f>
        <v>0</v>
      </c>
      <c r="O12" s="28">
        <f>'RESUMEN CIERRE'!K30+'RESUMEN CIERRE'!L48+'RESUMEN CIERRE'!O66</f>
        <v>151000</v>
      </c>
      <c r="P12" s="23">
        <f t="shared" si="0"/>
        <v>233527.73</v>
      </c>
      <c r="Q12" s="24">
        <f t="shared" si="1"/>
        <v>483366.38699999999</v>
      </c>
      <c r="R12" s="16">
        <f t="shared" si="2"/>
        <v>-2171206.017</v>
      </c>
      <c r="S12" s="13"/>
      <c r="T12" s="13"/>
      <c r="U12" s="13"/>
      <c r="V12" s="13"/>
      <c r="W12" s="13"/>
      <c r="X12" s="13"/>
      <c r="Y12" s="13"/>
      <c r="Z12" s="13"/>
      <c r="AA12" s="13"/>
    </row>
    <row r="13" spans="1:36" ht="12.75" customHeight="1">
      <c r="A13" s="14" t="s">
        <v>29</v>
      </c>
      <c r="B13" s="15">
        <v>44982</v>
      </c>
      <c r="C13" s="15">
        <v>45009</v>
      </c>
      <c r="D13" s="16">
        <f t="shared" si="3"/>
        <v>-2171206.017</v>
      </c>
      <c r="E13" s="25">
        <f>'RESUMEN CIERRE'!E31+'RESUMEN CIERRE'!E49+'RESUMEN CIERRE'!E67</f>
        <v>0</v>
      </c>
      <c r="F13" s="16">
        <f>'RESUMEN CIERRE'!F49+'RESUMEN CIERRE'!G67</f>
        <v>996.34</v>
      </c>
      <c r="G13" s="16">
        <f>'RESUMEN CIERRE'!F67</f>
        <v>1439.34</v>
      </c>
      <c r="H13" s="16">
        <f>'RESUMEN CIERRE'!F31+'RESUMEN CIERRE'!G49+'RESUMEN CIERRE'!H67</f>
        <v>550926</v>
      </c>
      <c r="I13" s="26">
        <f>'RESUMEN CIERRE'!I67</f>
        <v>2000</v>
      </c>
      <c r="J13" s="16">
        <f>'RESUMEN CIERRE'!G31+'RESUMEN CIERRE'!H49+'RESUMEN CIERRE'!J67</f>
        <v>0</v>
      </c>
      <c r="K13" s="16">
        <f>'RESUMEN CIERRE'!H31+'RESUMEN CIERRE'!I49+'RESUMEN CIERRE'!K67</f>
        <v>6060</v>
      </c>
      <c r="L13" s="27">
        <f>'RESUMEN CIERRE'!I31+'RESUMEN CIERRE'!J49+'RESUMEN CIERRE'!L67</f>
        <v>127242.4</v>
      </c>
      <c r="M13" s="16">
        <f>'RESUMEN CIERRE'!J31+'RESUMEN CIERRE'!K49+'RESUMEN CIERRE'!M67</f>
        <v>220000</v>
      </c>
      <c r="N13" s="16">
        <f>'RESUMEN CIERRE'!N67</f>
        <v>7896.19</v>
      </c>
      <c r="O13" s="28">
        <f>'RESUMEN CIERRE'!K31+'RESUMEN CIERRE'!L49+'RESUMEN CIERRE'!O67</f>
        <v>597926</v>
      </c>
      <c r="P13" s="23">
        <f t="shared" si="0"/>
        <v>553361.68000000005</v>
      </c>
      <c r="Q13" s="24">
        <f t="shared" si="1"/>
        <v>961124.59000000008</v>
      </c>
      <c r="R13" s="16">
        <f t="shared" si="2"/>
        <v>-2578968.9270000001</v>
      </c>
      <c r="S13" s="13"/>
      <c r="T13" s="13"/>
      <c r="U13" s="13"/>
      <c r="V13" s="13"/>
      <c r="W13" s="13"/>
      <c r="X13" s="13"/>
      <c r="Y13" s="13"/>
      <c r="Z13" s="13"/>
      <c r="AA13" s="13"/>
    </row>
    <row r="14" spans="1:36" ht="12.75" customHeight="1">
      <c r="A14" s="14" t="s">
        <v>30</v>
      </c>
      <c r="B14" s="15">
        <v>45010</v>
      </c>
      <c r="C14" s="15">
        <v>45040</v>
      </c>
      <c r="D14" s="16">
        <f t="shared" si="3"/>
        <v>-2578968.9270000001</v>
      </c>
      <c r="E14" s="25">
        <f>'RESUMEN CIERRE'!E32+'RESUMEN CIERRE'!E50+'RESUMEN CIERRE'!E68</f>
        <v>0</v>
      </c>
      <c r="F14" s="16">
        <f>'RESUMEN CIERRE'!F50+'RESUMEN CIERRE'!G68</f>
        <v>0</v>
      </c>
      <c r="G14" s="16">
        <f>'RESUMEN CIERRE'!F68</f>
        <v>10000</v>
      </c>
      <c r="H14" s="16">
        <f>'RESUMEN CIERRE'!F32+'RESUMEN CIERRE'!G50+'RESUMEN CIERRE'!H68</f>
        <v>0</v>
      </c>
      <c r="I14" s="26">
        <f>'RESUMEN CIERRE'!I68</f>
        <v>200</v>
      </c>
      <c r="J14" s="16">
        <f>'RESUMEN CIERRE'!G32+'RESUMEN CIERRE'!H50+'RESUMEN CIERRE'!J68</f>
        <v>0</v>
      </c>
      <c r="K14" s="16">
        <f>'RESUMEN CIERRE'!H32+'RESUMEN CIERRE'!I50+'RESUMEN CIERRE'!K68</f>
        <v>0</v>
      </c>
      <c r="L14" s="27">
        <f>'RESUMEN CIERRE'!I32+'RESUMEN CIERRE'!J50+'RESUMEN CIERRE'!L68</f>
        <v>28872.2</v>
      </c>
      <c r="M14" s="16">
        <f>'RESUMEN CIERRE'!J32+'RESUMEN CIERRE'!K50+'RESUMEN CIERRE'!M68</f>
        <v>0</v>
      </c>
      <c r="N14" s="16">
        <f>'RESUMEN CIERRE'!N68</f>
        <v>0</v>
      </c>
      <c r="O14" s="28">
        <f>'RESUMEN CIERRE'!K32+'RESUMEN CIERRE'!L50+'RESUMEN CIERRE'!O68</f>
        <v>238620</v>
      </c>
      <c r="P14" s="23">
        <f t="shared" si="0"/>
        <v>10000</v>
      </c>
      <c r="Q14" s="24">
        <f t="shared" si="1"/>
        <v>267692.2</v>
      </c>
      <c r="R14" s="16">
        <f t="shared" si="2"/>
        <v>-2836661.1270000003</v>
      </c>
      <c r="S14" s="13"/>
      <c r="T14" s="13"/>
      <c r="U14" s="13"/>
      <c r="V14" s="13"/>
      <c r="W14" s="13"/>
      <c r="X14" s="13"/>
      <c r="Y14" s="13"/>
      <c r="Z14" s="13"/>
      <c r="AA14" s="13"/>
    </row>
    <row r="15" spans="1:36">
      <c r="A15" s="461" t="s">
        <v>31</v>
      </c>
      <c r="B15" s="458"/>
      <c r="C15" s="458"/>
      <c r="D15" s="459"/>
      <c r="E15" s="29">
        <f t="shared" ref="E15:Q15" si="4">SUM(E3:E14)</f>
        <v>0</v>
      </c>
      <c r="F15" s="30">
        <f t="shared" si="4"/>
        <v>8290.51</v>
      </c>
      <c r="G15" s="30">
        <f t="shared" si="4"/>
        <v>58012.17</v>
      </c>
      <c r="H15" s="31">
        <f t="shared" si="4"/>
        <v>1620672.53</v>
      </c>
      <c r="I15" s="32">
        <f t="shared" si="4"/>
        <v>159662.95000000001</v>
      </c>
      <c r="J15" s="33">
        <f t="shared" si="4"/>
        <v>0</v>
      </c>
      <c r="K15" s="33">
        <f t="shared" si="4"/>
        <v>152638.38699999999</v>
      </c>
      <c r="L15" s="33">
        <f t="shared" si="4"/>
        <v>1262613.5399999998</v>
      </c>
      <c r="M15" s="33">
        <f t="shared" si="4"/>
        <v>1546730</v>
      </c>
      <c r="N15" s="33">
        <f t="shared" si="4"/>
        <v>64019.87000000001</v>
      </c>
      <c r="O15" s="34">
        <f t="shared" si="4"/>
        <v>1337971.5900000001</v>
      </c>
      <c r="P15" s="35">
        <f t="shared" si="4"/>
        <v>1686975.21</v>
      </c>
      <c r="Q15" s="36">
        <f t="shared" si="4"/>
        <v>4523636.3370000003</v>
      </c>
      <c r="R15" s="37">
        <f>R14</f>
        <v>-2836661.1270000003</v>
      </c>
      <c r="S15" s="13"/>
      <c r="T15" s="13"/>
      <c r="U15" s="13"/>
      <c r="V15" s="13"/>
      <c r="W15" s="13"/>
      <c r="X15" s="13"/>
      <c r="Y15" s="13"/>
      <c r="Z15" s="13"/>
      <c r="AA15" s="13"/>
    </row>
    <row r="16" spans="1:36" ht="12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6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ht="12.75" customHeight="1">
      <c r="J17" s="13"/>
      <c r="K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ht="12.75" customHeight="1">
      <c r="A18" s="38" t="s">
        <v>32</v>
      </c>
      <c r="B18" s="38"/>
      <c r="C18" s="462" t="s">
        <v>33</v>
      </c>
      <c r="D18" s="456"/>
      <c r="E18" s="456"/>
      <c r="F18" s="456"/>
      <c r="G18" s="462" t="s">
        <v>34</v>
      </c>
      <c r="H18" s="456"/>
      <c r="I18" s="456"/>
      <c r="J18" s="456"/>
      <c r="K18" s="462" t="s">
        <v>35</v>
      </c>
      <c r="L18" s="456"/>
      <c r="M18" s="456"/>
      <c r="N18" s="456"/>
      <c r="O18" s="38"/>
      <c r="P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ht="12.75" customHeight="1">
      <c r="A19" s="13"/>
      <c r="B19" s="39" t="s">
        <v>1</v>
      </c>
      <c r="C19" s="39" t="s">
        <v>36</v>
      </c>
      <c r="D19" s="39"/>
      <c r="E19" s="462" t="s">
        <v>37</v>
      </c>
      <c r="F19" s="456"/>
      <c r="G19" s="39" t="s">
        <v>36</v>
      </c>
      <c r="H19" s="39"/>
      <c r="I19" s="462" t="s">
        <v>37</v>
      </c>
      <c r="J19" s="456"/>
      <c r="K19" s="39" t="s">
        <v>36</v>
      </c>
      <c r="L19" s="40"/>
      <c r="M19" s="462" t="s">
        <v>37</v>
      </c>
      <c r="N19" s="456"/>
      <c r="O19" s="41" t="s">
        <v>38</v>
      </c>
      <c r="P19" s="39" t="s">
        <v>39</v>
      </c>
      <c r="Q19" s="39" t="s">
        <v>40</v>
      </c>
      <c r="R19" s="41" t="s">
        <v>41</v>
      </c>
      <c r="S19" s="42" t="s">
        <v>42</v>
      </c>
      <c r="U19" s="13"/>
      <c r="V19" s="39" t="s">
        <v>43</v>
      </c>
      <c r="W19" s="39" t="s">
        <v>44</v>
      </c>
      <c r="X19" s="39" t="s">
        <v>45</v>
      </c>
      <c r="Y19" s="39" t="s">
        <v>46</v>
      </c>
      <c r="Z19" s="39" t="s">
        <v>47</v>
      </c>
      <c r="AA19" s="4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ht="12.75" customHeight="1">
      <c r="A20" s="44"/>
      <c r="B20" s="44"/>
      <c r="C20" s="45" t="s">
        <v>48</v>
      </c>
      <c r="D20" s="46" t="s">
        <v>49</v>
      </c>
      <c r="E20" s="46" t="s">
        <v>50</v>
      </c>
      <c r="F20" s="46" t="s">
        <v>51</v>
      </c>
      <c r="G20" s="46" t="s">
        <v>52</v>
      </c>
      <c r="H20" s="46" t="s">
        <v>49</v>
      </c>
      <c r="I20" s="46" t="s">
        <v>50</v>
      </c>
      <c r="J20" s="46" t="s">
        <v>51</v>
      </c>
      <c r="K20" s="47">
        <v>0.3</v>
      </c>
      <c r="L20" s="46" t="s">
        <v>49</v>
      </c>
      <c r="M20" s="46" t="s">
        <v>50</v>
      </c>
      <c r="N20" s="46" t="s">
        <v>51</v>
      </c>
      <c r="O20" s="47">
        <v>0.1</v>
      </c>
      <c r="P20" s="47">
        <v>0.1</v>
      </c>
      <c r="Q20" s="47">
        <v>0.05</v>
      </c>
      <c r="R20" s="47">
        <v>0.05</v>
      </c>
      <c r="S20" s="42" t="s">
        <v>53</v>
      </c>
      <c r="U20" s="44"/>
      <c r="V20" s="44"/>
      <c r="W20" s="47">
        <v>0.5</v>
      </c>
      <c r="X20" s="47">
        <v>0.2</v>
      </c>
      <c r="Y20" s="47">
        <v>0.2</v>
      </c>
      <c r="Z20" s="47">
        <v>0.1</v>
      </c>
      <c r="AA20" s="48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ht="12.75" customHeight="1">
      <c r="A21" s="14" t="s">
        <v>19</v>
      </c>
      <c r="B21" s="49">
        <f t="shared" ref="B21:B32" si="5">E3+F3</f>
        <v>237.92000000000002</v>
      </c>
      <c r="C21" s="50">
        <f t="shared" ref="C21:C32" si="6">B21-G21-K21</f>
        <v>166.54400000000001</v>
      </c>
      <c r="D21" s="51">
        <f t="shared" ref="D21:D32" si="7">J3</f>
        <v>0</v>
      </c>
      <c r="E21" s="16">
        <f t="shared" ref="E21:E32" si="8">C21-D21</f>
        <v>166.54400000000001</v>
      </c>
      <c r="F21" s="52" t="e">
        <f t="shared" ref="F21:F32" si="9">((C21/D21)-1)*100</f>
        <v>#DIV/0!</v>
      </c>
      <c r="G21" s="50">
        <f>COUNTIF(VENTAS!$F$7:$F$36,"&lt;&gt;0")*PRESUPUESTO!$D$28</f>
        <v>0</v>
      </c>
      <c r="H21" s="51">
        <f t="shared" ref="H21:H32" si="10">K3+L3+M3</f>
        <v>127874.58</v>
      </c>
      <c r="I21" s="16">
        <f>G21-H21</f>
        <v>-127874.58</v>
      </c>
      <c r="J21" s="52">
        <f t="shared" ref="J21:J32" si="11">((G21/H21)-1)*100</f>
        <v>-100</v>
      </c>
      <c r="K21" s="50">
        <f t="shared" ref="K21:K32" si="12">B21*$K$20</f>
        <v>71.376000000000005</v>
      </c>
      <c r="L21" s="51">
        <f t="shared" ref="L21:L32" si="13">B21-D21-H21</f>
        <v>-127636.66</v>
      </c>
      <c r="M21" s="16">
        <f>K21-L21</f>
        <v>127708.03600000001</v>
      </c>
      <c r="N21" s="52">
        <f>((K21/L21)-1)*100</f>
        <v>-100.05592123767575</v>
      </c>
      <c r="O21" s="16">
        <f t="shared" ref="O21:R21" si="14">$B21*O$20</f>
        <v>23.792000000000002</v>
      </c>
      <c r="P21" s="16">
        <f t="shared" si="14"/>
        <v>23.792000000000002</v>
      </c>
      <c r="Q21" s="16">
        <f t="shared" si="14"/>
        <v>11.896000000000001</v>
      </c>
      <c r="R21" s="16">
        <f t="shared" si="14"/>
        <v>11.896000000000001</v>
      </c>
      <c r="S21" s="16"/>
      <c r="U21" s="14" t="s">
        <v>19</v>
      </c>
      <c r="V21" s="16">
        <f t="shared" ref="V21:V32" si="15">R3</f>
        <v>-128089.66</v>
      </c>
      <c r="W21" s="16">
        <f t="shared" ref="W21:Z21" si="16">$V21*W$20</f>
        <v>-64044.83</v>
      </c>
      <c r="X21" s="16">
        <f t="shared" si="16"/>
        <v>-25617.932000000001</v>
      </c>
      <c r="Y21" s="16">
        <f t="shared" si="16"/>
        <v>-25617.932000000001</v>
      </c>
      <c r="Z21" s="16">
        <f t="shared" si="16"/>
        <v>-12808.966</v>
      </c>
      <c r="AA21" s="27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ht="12.75" customHeight="1">
      <c r="A22" s="14" t="s">
        <v>20</v>
      </c>
      <c r="B22" s="49">
        <f t="shared" si="5"/>
        <v>474.23000000000013</v>
      </c>
      <c r="C22" s="50">
        <f t="shared" si="6"/>
        <v>331.96100000000013</v>
      </c>
      <c r="D22" s="51">
        <f t="shared" si="7"/>
        <v>0</v>
      </c>
      <c r="E22" s="16">
        <f t="shared" si="8"/>
        <v>331.96100000000013</v>
      </c>
      <c r="F22" s="52" t="e">
        <f t="shared" si="9"/>
        <v>#DIV/0!</v>
      </c>
      <c r="G22" s="50">
        <f>COUNTIF(VENTAS!$F$37:$F$67,"&lt;&gt;0")*PRESUPUESTO!$G$28</f>
        <v>0</v>
      </c>
      <c r="H22" s="51">
        <f t="shared" si="10"/>
        <v>220369.15000000002</v>
      </c>
      <c r="I22" s="16">
        <f t="shared" ref="I22:I32" si="17">G21-H22</f>
        <v>-220369.15000000002</v>
      </c>
      <c r="J22" s="52">
        <f t="shared" si="11"/>
        <v>-100</v>
      </c>
      <c r="K22" s="50">
        <f t="shared" si="12"/>
        <v>142.26900000000003</v>
      </c>
      <c r="L22" s="51">
        <f t="shared" si="13"/>
        <v>-219894.92</v>
      </c>
      <c r="M22" s="16">
        <f t="shared" ref="M22:M32" si="18">L22-K22</f>
        <v>-220037.18900000001</v>
      </c>
      <c r="N22" s="52">
        <f t="shared" ref="N22:N32" si="19">(1-(K22/L22))*100</f>
        <v>100.06469862969094</v>
      </c>
      <c r="O22" s="16">
        <f t="shared" ref="O22:R22" si="20">$B22*O$20</f>
        <v>47.423000000000016</v>
      </c>
      <c r="P22" s="16">
        <f t="shared" si="20"/>
        <v>47.423000000000016</v>
      </c>
      <c r="Q22" s="16">
        <f t="shared" si="20"/>
        <v>23.711500000000008</v>
      </c>
      <c r="R22" s="16">
        <f t="shared" si="20"/>
        <v>23.711500000000008</v>
      </c>
      <c r="S22" s="16"/>
      <c r="U22" s="14" t="s">
        <v>20</v>
      </c>
      <c r="V22" s="16">
        <f t="shared" si="15"/>
        <v>-353474.58</v>
      </c>
      <c r="W22" s="16">
        <f t="shared" ref="W22:Z22" si="21">$V22*W$20</f>
        <v>-176737.29</v>
      </c>
      <c r="X22" s="16">
        <f t="shared" si="21"/>
        <v>-70694.916000000012</v>
      </c>
      <c r="Y22" s="16">
        <f t="shared" si="21"/>
        <v>-70694.916000000012</v>
      </c>
      <c r="Z22" s="16">
        <f t="shared" si="21"/>
        <v>-35347.458000000006</v>
      </c>
      <c r="AA22" s="27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ht="12.75" customHeight="1">
      <c r="A23" s="14" t="s">
        <v>21</v>
      </c>
      <c r="B23" s="49">
        <f t="shared" si="5"/>
        <v>217.8</v>
      </c>
      <c r="C23" s="50">
        <f t="shared" si="6"/>
        <v>152.46</v>
      </c>
      <c r="D23" s="51">
        <f t="shared" si="7"/>
        <v>0</v>
      </c>
      <c r="E23" s="16">
        <f t="shared" si="8"/>
        <v>152.46</v>
      </c>
      <c r="F23" s="52" t="e">
        <f t="shared" si="9"/>
        <v>#DIV/0!</v>
      </c>
      <c r="G23" s="50">
        <f>COUNTIF(VENTAS!$F$68:$F$97,"&lt;&gt;0")*PRESUPUESTO!$J$28</f>
        <v>0</v>
      </c>
      <c r="H23" s="51">
        <f t="shared" si="10"/>
        <v>259373.62</v>
      </c>
      <c r="I23" s="16">
        <f t="shared" si="17"/>
        <v>-259373.62</v>
      </c>
      <c r="J23" s="52">
        <f t="shared" si="11"/>
        <v>-100</v>
      </c>
      <c r="K23" s="50">
        <f t="shared" si="12"/>
        <v>65.34</v>
      </c>
      <c r="L23" s="51">
        <f t="shared" si="13"/>
        <v>-259155.82</v>
      </c>
      <c r="M23" s="16">
        <f t="shared" si="18"/>
        <v>-259221.16</v>
      </c>
      <c r="N23" s="52">
        <f t="shared" si="19"/>
        <v>100.025212630764</v>
      </c>
      <c r="O23" s="16">
        <f t="shared" ref="O23:R23" si="22">$B23*O$20</f>
        <v>21.78</v>
      </c>
      <c r="P23" s="16">
        <f t="shared" si="22"/>
        <v>21.78</v>
      </c>
      <c r="Q23" s="16">
        <f t="shared" si="22"/>
        <v>10.89</v>
      </c>
      <c r="R23" s="16">
        <f t="shared" si="22"/>
        <v>10.89</v>
      </c>
      <c r="S23" s="16"/>
      <c r="U23" s="14" t="s">
        <v>21</v>
      </c>
      <c r="V23" s="16">
        <f t="shared" si="15"/>
        <v>-58386.599999999977</v>
      </c>
      <c r="W23" s="16">
        <f t="shared" ref="W23:Z23" si="23">$V23*W$20</f>
        <v>-29193.299999999988</v>
      </c>
      <c r="X23" s="16">
        <f t="shared" si="23"/>
        <v>-11677.319999999996</v>
      </c>
      <c r="Y23" s="16">
        <f t="shared" si="23"/>
        <v>-11677.319999999996</v>
      </c>
      <c r="Z23" s="16">
        <f t="shared" si="23"/>
        <v>-5838.659999999998</v>
      </c>
      <c r="AA23" s="27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ht="12.75" customHeight="1">
      <c r="A24" s="14" t="s">
        <v>22</v>
      </c>
      <c r="B24" s="49">
        <f t="shared" si="5"/>
        <v>500.84000000000003</v>
      </c>
      <c r="C24" s="50">
        <f t="shared" si="6"/>
        <v>350.58800000000002</v>
      </c>
      <c r="D24" s="51">
        <f t="shared" si="7"/>
        <v>0</v>
      </c>
      <c r="E24" s="16">
        <f t="shared" si="8"/>
        <v>350.58800000000002</v>
      </c>
      <c r="F24" s="52" t="e">
        <f t="shared" si="9"/>
        <v>#DIV/0!</v>
      </c>
      <c r="G24" s="50">
        <f>COUNTIF(VENTAS!$F$98:$F$128,"&lt;&gt;0")*PRESUPUESTO!$M$28</f>
        <v>0</v>
      </c>
      <c r="H24" s="51">
        <f t="shared" si="10"/>
        <v>276436.90000000002</v>
      </c>
      <c r="I24" s="16">
        <f t="shared" si="17"/>
        <v>-276436.90000000002</v>
      </c>
      <c r="J24" s="52">
        <f t="shared" si="11"/>
        <v>-100</v>
      </c>
      <c r="K24" s="50">
        <f t="shared" si="12"/>
        <v>150.25200000000001</v>
      </c>
      <c r="L24" s="51">
        <f t="shared" si="13"/>
        <v>-275936.06</v>
      </c>
      <c r="M24" s="16">
        <f t="shared" si="18"/>
        <v>-276086.31199999998</v>
      </c>
      <c r="N24" s="52">
        <f t="shared" si="19"/>
        <v>100.05445174508907</v>
      </c>
      <c r="O24" s="16">
        <f t="shared" ref="O24:R24" si="24">$B24*O$20</f>
        <v>50.084000000000003</v>
      </c>
      <c r="P24" s="16">
        <f t="shared" si="24"/>
        <v>50.084000000000003</v>
      </c>
      <c r="Q24" s="16">
        <f t="shared" si="24"/>
        <v>25.042000000000002</v>
      </c>
      <c r="R24" s="16">
        <f t="shared" si="24"/>
        <v>25.042000000000002</v>
      </c>
      <c r="S24" s="16"/>
      <c r="U24" s="14" t="s">
        <v>22</v>
      </c>
      <c r="V24" s="16">
        <f t="shared" si="15"/>
        <v>-351213.35000000003</v>
      </c>
      <c r="W24" s="16">
        <f t="shared" ref="W24:Z24" si="25">$V24*W$20</f>
        <v>-175606.67500000002</v>
      </c>
      <c r="X24" s="16">
        <f t="shared" si="25"/>
        <v>-70242.670000000013</v>
      </c>
      <c r="Y24" s="16">
        <f t="shared" si="25"/>
        <v>-70242.670000000013</v>
      </c>
      <c r="Z24" s="16">
        <f t="shared" si="25"/>
        <v>-35121.335000000006</v>
      </c>
      <c r="AA24" s="27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ht="12.75" customHeight="1">
      <c r="A25" s="14" t="s">
        <v>23</v>
      </c>
      <c r="B25" s="49">
        <f t="shared" si="5"/>
        <v>601.69999999999993</v>
      </c>
      <c r="C25" s="50">
        <f t="shared" si="6"/>
        <v>421.18999999999994</v>
      </c>
      <c r="D25" s="51">
        <f t="shared" si="7"/>
        <v>0</v>
      </c>
      <c r="E25" s="16">
        <f t="shared" si="8"/>
        <v>421.18999999999994</v>
      </c>
      <c r="F25" s="52" t="e">
        <f t="shared" si="9"/>
        <v>#DIV/0!</v>
      </c>
      <c r="G25" s="50">
        <f>COUNTIF(VENTAS!$F$129:$F$159,"&lt;&gt;0")*PRESUPUESTO!$P$28</f>
        <v>0</v>
      </c>
      <c r="H25" s="51">
        <f t="shared" si="10"/>
        <v>272848.31</v>
      </c>
      <c r="I25" s="16">
        <f t="shared" si="17"/>
        <v>-272848.31</v>
      </c>
      <c r="J25" s="52">
        <f t="shared" si="11"/>
        <v>-100</v>
      </c>
      <c r="K25" s="50">
        <f t="shared" si="12"/>
        <v>180.50999999999996</v>
      </c>
      <c r="L25" s="51">
        <f t="shared" si="13"/>
        <v>-272246.61</v>
      </c>
      <c r="M25" s="16">
        <f t="shared" si="18"/>
        <v>-272427.12</v>
      </c>
      <c r="N25" s="52">
        <f t="shared" si="19"/>
        <v>100.06630385590476</v>
      </c>
      <c r="O25" s="16">
        <f t="shared" ref="O25:R25" si="26">$B25*O$20</f>
        <v>60.169999999999995</v>
      </c>
      <c r="P25" s="16">
        <f t="shared" si="26"/>
        <v>60.169999999999995</v>
      </c>
      <c r="Q25" s="16">
        <f t="shared" si="26"/>
        <v>30.084999999999997</v>
      </c>
      <c r="R25" s="16">
        <f t="shared" si="26"/>
        <v>30.084999999999997</v>
      </c>
      <c r="S25" s="16"/>
      <c r="U25" s="14" t="s">
        <v>23</v>
      </c>
      <c r="V25" s="16">
        <f t="shared" si="15"/>
        <v>-653520.43999999994</v>
      </c>
      <c r="W25" s="16">
        <f t="shared" ref="W25:Z25" si="27">$V25*W$20</f>
        <v>-326760.21999999997</v>
      </c>
      <c r="X25" s="16">
        <f t="shared" si="27"/>
        <v>-130704.08799999999</v>
      </c>
      <c r="Y25" s="16">
        <f t="shared" si="27"/>
        <v>-130704.08799999999</v>
      </c>
      <c r="Z25" s="16">
        <f t="shared" si="27"/>
        <v>-65352.043999999994</v>
      </c>
      <c r="AA25" s="27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ht="12.75" customHeight="1">
      <c r="A26" s="14" t="s">
        <v>24</v>
      </c>
      <c r="B26" s="49">
        <f t="shared" si="5"/>
        <v>598.26</v>
      </c>
      <c r="C26" s="50">
        <f t="shared" si="6"/>
        <v>418.78200000000004</v>
      </c>
      <c r="D26" s="51">
        <f t="shared" si="7"/>
        <v>0</v>
      </c>
      <c r="E26" s="16">
        <f t="shared" si="8"/>
        <v>418.78200000000004</v>
      </c>
      <c r="F26" s="52" t="e">
        <f t="shared" si="9"/>
        <v>#DIV/0!</v>
      </c>
      <c r="G26" s="50">
        <f>COUNTIF(VENTAS!$F$160:$F$189,"&lt;&gt;0")*PRESUPUESTO!$S$28</f>
        <v>0</v>
      </c>
      <c r="H26" s="51">
        <f t="shared" si="10"/>
        <v>264491.65000000002</v>
      </c>
      <c r="I26" s="16">
        <f t="shared" si="17"/>
        <v>-264491.65000000002</v>
      </c>
      <c r="J26" s="52">
        <f t="shared" si="11"/>
        <v>-100</v>
      </c>
      <c r="K26" s="50">
        <f t="shared" si="12"/>
        <v>179.47799999999998</v>
      </c>
      <c r="L26" s="51">
        <f t="shared" si="13"/>
        <v>-263893.39</v>
      </c>
      <c r="M26" s="16">
        <f t="shared" si="18"/>
        <v>-264072.86800000002</v>
      </c>
      <c r="N26" s="52">
        <f t="shared" si="19"/>
        <v>100.06801155572711</v>
      </c>
      <c r="O26" s="16">
        <f t="shared" ref="O26:R26" si="28">$B26*O$20</f>
        <v>59.826000000000001</v>
      </c>
      <c r="P26" s="16">
        <f t="shared" si="28"/>
        <v>59.826000000000001</v>
      </c>
      <c r="Q26" s="16">
        <f t="shared" si="28"/>
        <v>29.913</v>
      </c>
      <c r="R26" s="16">
        <f t="shared" si="28"/>
        <v>29.913</v>
      </c>
      <c r="S26" s="16"/>
      <c r="U26" s="14" t="s">
        <v>24</v>
      </c>
      <c r="V26" s="16">
        <f t="shared" si="15"/>
        <v>-937520.27999999991</v>
      </c>
      <c r="W26" s="16">
        <f t="shared" ref="W26:Z26" si="29">$V26*W$20</f>
        <v>-468760.13999999996</v>
      </c>
      <c r="X26" s="16">
        <f t="shared" si="29"/>
        <v>-187504.05599999998</v>
      </c>
      <c r="Y26" s="16">
        <f t="shared" si="29"/>
        <v>-187504.05599999998</v>
      </c>
      <c r="Z26" s="16">
        <f t="shared" si="29"/>
        <v>-93752.027999999991</v>
      </c>
      <c r="AA26" s="27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ht="12.75" customHeight="1">
      <c r="A27" s="14" t="s">
        <v>25</v>
      </c>
      <c r="B27" s="49">
        <f t="shared" si="5"/>
        <v>1103.4299999999998</v>
      </c>
      <c r="C27" s="50">
        <f t="shared" si="6"/>
        <v>772.40099999999984</v>
      </c>
      <c r="D27" s="51">
        <f t="shared" si="7"/>
        <v>0</v>
      </c>
      <c r="E27" s="16">
        <f t="shared" si="8"/>
        <v>772.40099999999984</v>
      </c>
      <c r="F27" s="52" t="e">
        <f t="shared" si="9"/>
        <v>#DIV/0!</v>
      </c>
      <c r="G27" s="50">
        <f>COUNTIF(VENTAS!$F$190:$F$220,"&lt;&gt;0")*PRESUPUESTO!$V$28</f>
        <v>0</v>
      </c>
      <c r="H27" s="51">
        <f t="shared" si="10"/>
        <v>257350.88</v>
      </c>
      <c r="I27" s="16">
        <f t="shared" si="17"/>
        <v>-257350.88</v>
      </c>
      <c r="J27" s="52">
        <f t="shared" si="11"/>
        <v>-100</v>
      </c>
      <c r="K27" s="50">
        <f t="shared" si="12"/>
        <v>331.02899999999994</v>
      </c>
      <c r="L27" s="51">
        <f t="shared" si="13"/>
        <v>-256247.45</v>
      </c>
      <c r="M27" s="16">
        <f t="shared" si="18"/>
        <v>-256578.47900000002</v>
      </c>
      <c r="N27" s="52">
        <f t="shared" si="19"/>
        <v>100.1291833343122</v>
      </c>
      <c r="O27" s="16">
        <f t="shared" ref="O27:R27" si="30">$B27*O$20</f>
        <v>110.34299999999999</v>
      </c>
      <c r="P27" s="16">
        <f t="shared" si="30"/>
        <v>110.34299999999999</v>
      </c>
      <c r="Q27" s="16">
        <f t="shared" si="30"/>
        <v>55.171499999999995</v>
      </c>
      <c r="R27" s="16">
        <f t="shared" si="30"/>
        <v>55.171499999999995</v>
      </c>
      <c r="S27" s="16"/>
      <c r="U27" s="14" t="s">
        <v>25</v>
      </c>
      <c r="V27" s="16">
        <f t="shared" si="15"/>
        <v>-1211337.73</v>
      </c>
      <c r="W27" s="16">
        <f t="shared" ref="W27:Z27" si="31">$V27*W$20</f>
        <v>-605668.86499999999</v>
      </c>
      <c r="X27" s="16">
        <f t="shared" si="31"/>
        <v>-242267.546</v>
      </c>
      <c r="Y27" s="16">
        <f t="shared" si="31"/>
        <v>-242267.546</v>
      </c>
      <c r="Z27" s="16">
        <f t="shared" si="31"/>
        <v>-121133.773</v>
      </c>
      <c r="AA27" s="27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ht="12.75" customHeight="1">
      <c r="A28" s="14" t="s">
        <v>26</v>
      </c>
      <c r="B28" s="49">
        <f t="shared" si="5"/>
        <v>1021.09</v>
      </c>
      <c r="C28" s="50">
        <f t="shared" si="6"/>
        <v>714.76300000000003</v>
      </c>
      <c r="D28" s="51">
        <f t="shared" si="7"/>
        <v>0</v>
      </c>
      <c r="E28" s="16">
        <f t="shared" si="8"/>
        <v>714.76300000000003</v>
      </c>
      <c r="F28" s="52" t="e">
        <f t="shared" si="9"/>
        <v>#DIV/0!</v>
      </c>
      <c r="G28" s="50">
        <f>COUNTIF(VENTAS!$F$221:$F$250,"&lt;&gt;0")*PRESUPUESTO!$Y$28</f>
        <v>0</v>
      </c>
      <c r="H28" s="51">
        <f t="shared" si="10"/>
        <v>302568.12</v>
      </c>
      <c r="I28" s="16">
        <f t="shared" si="17"/>
        <v>-302568.12</v>
      </c>
      <c r="J28" s="52">
        <f t="shared" si="11"/>
        <v>-100</v>
      </c>
      <c r="K28" s="50">
        <f t="shared" si="12"/>
        <v>306.327</v>
      </c>
      <c r="L28" s="51">
        <f t="shared" si="13"/>
        <v>-301547.02999999997</v>
      </c>
      <c r="M28" s="16">
        <f t="shared" si="18"/>
        <v>-301853.35699999996</v>
      </c>
      <c r="N28" s="52">
        <f t="shared" si="19"/>
        <v>100.10158514908936</v>
      </c>
      <c r="O28" s="16">
        <f t="shared" ref="O28:R28" si="32">$B28*O$20</f>
        <v>102.10900000000001</v>
      </c>
      <c r="P28" s="16">
        <f t="shared" si="32"/>
        <v>102.10900000000001</v>
      </c>
      <c r="Q28" s="16">
        <f t="shared" si="32"/>
        <v>51.054500000000004</v>
      </c>
      <c r="R28" s="16">
        <f t="shared" si="32"/>
        <v>51.054500000000004</v>
      </c>
      <c r="S28" s="16"/>
      <c r="U28" s="14" t="s">
        <v>26</v>
      </c>
      <c r="V28" s="16">
        <f t="shared" si="15"/>
        <v>-1519938.61</v>
      </c>
      <c r="W28" s="16">
        <f t="shared" ref="W28:Z28" si="33">$V28*W$20</f>
        <v>-759969.30500000005</v>
      </c>
      <c r="X28" s="16">
        <f t="shared" si="33"/>
        <v>-303987.72200000001</v>
      </c>
      <c r="Y28" s="16">
        <f t="shared" si="33"/>
        <v>-303987.72200000001</v>
      </c>
      <c r="Z28" s="16">
        <f t="shared" si="33"/>
        <v>-151993.861</v>
      </c>
      <c r="AA28" s="27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ht="12.75" customHeight="1">
      <c r="A29" s="14" t="s">
        <v>27</v>
      </c>
      <c r="B29" s="49">
        <f t="shared" si="5"/>
        <v>738.85</v>
      </c>
      <c r="C29" s="50">
        <f t="shared" si="6"/>
        <v>517.19500000000005</v>
      </c>
      <c r="D29" s="51">
        <f t="shared" si="7"/>
        <v>0</v>
      </c>
      <c r="E29" s="16">
        <f t="shared" si="8"/>
        <v>517.19500000000005</v>
      </c>
      <c r="F29" s="52" t="e">
        <f t="shared" si="9"/>
        <v>#DIV/0!</v>
      </c>
      <c r="G29" s="50">
        <f>COUNTIF(VENTAS!$F$251:$F$281,"&lt;&gt;0")*PRESUPUESTO!$AB$28</f>
        <v>0</v>
      </c>
      <c r="H29" s="51">
        <f t="shared" si="10"/>
        <v>280148.73</v>
      </c>
      <c r="I29" s="16">
        <f t="shared" si="17"/>
        <v>-280148.73</v>
      </c>
      <c r="J29" s="52">
        <f t="shared" si="11"/>
        <v>-100</v>
      </c>
      <c r="K29" s="50">
        <f t="shared" si="12"/>
        <v>221.655</v>
      </c>
      <c r="L29" s="51">
        <f t="shared" si="13"/>
        <v>-279409.88</v>
      </c>
      <c r="M29" s="16">
        <f t="shared" si="18"/>
        <v>-279631.53500000003</v>
      </c>
      <c r="N29" s="52">
        <f t="shared" si="19"/>
        <v>100.07932969299441</v>
      </c>
      <c r="O29" s="16">
        <f t="shared" ref="O29:R29" si="34">$B29*O$20</f>
        <v>73.885000000000005</v>
      </c>
      <c r="P29" s="16">
        <f t="shared" si="34"/>
        <v>73.885000000000005</v>
      </c>
      <c r="Q29" s="16">
        <f t="shared" si="34"/>
        <v>36.942500000000003</v>
      </c>
      <c r="R29" s="16">
        <f t="shared" si="34"/>
        <v>36.942500000000003</v>
      </c>
      <c r="S29" s="16">
        <f>4810</f>
        <v>4810</v>
      </c>
      <c r="U29" s="14" t="s">
        <v>27</v>
      </c>
      <c r="V29" s="16">
        <f t="shared" si="15"/>
        <v>-1921367.3599999999</v>
      </c>
      <c r="W29" s="16">
        <f t="shared" ref="W29:Z29" si="35">$V29*W$20</f>
        <v>-960683.67999999993</v>
      </c>
      <c r="X29" s="16">
        <f t="shared" si="35"/>
        <v>-384273.47200000001</v>
      </c>
      <c r="Y29" s="16">
        <f t="shared" si="35"/>
        <v>-384273.47200000001</v>
      </c>
      <c r="Z29" s="16">
        <f t="shared" si="35"/>
        <v>-192136.736</v>
      </c>
      <c r="AA29" s="27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ht="12.75" customHeight="1">
      <c r="A30" s="14" t="s">
        <v>28</v>
      </c>
      <c r="B30" s="49">
        <f t="shared" si="5"/>
        <v>1800.05</v>
      </c>
      <c r="C30" s="50">
        <f t="shared" si="6"/>
        <v>1260.0349999999999</v>
      </c>
      <c r="D30" s="51">
        <f t="shared" si="7"/>
        <v>0</v>
      </c>
      <c r="E30" s="16">
        <f t="shared" si="8"/>
        <v>1260.0349999999999</v>
      </c>
      <c r="F30" s="52" t="e">
        <f t="shared" si="9"/>
        <v>#DIV/0!</v>
      </c>
      <c r="G30" s="50">
        <f>COUNTIF(VENTAS!$F$282:$F$312,"&lt;&gt;0")*PRESUPUESTO!$AE$28</f>
        <v>0</v>
      </c>
      <c r="H30" s="51">
        <f t="shared" si="10"/>
        <v>318345.38699999999</v>
      </c>
      <c r="I30" s="16">
        <f t="shared" si="17"/>
        <v>-318345.38699999999</v>
      </c>
      <c r="J30" s="52">
        <f t="shared" si="11"/>
        <v>-100</v>
      </c>
      <c r="K30" s="50">
        <f t="shared" si="12"/>
        <v>540.01499999999999</v>
      </c>
      <c r="L30" s="51">
        <f t="shared" si="13"/>
        <v>-316545.337</v>
      </c>
      <c r="M30" s="16">
        <f t="shared" si="18"/>
        <v>-317085.35200000001</v>
      </c>
      <c r="N30" s="52">
        <f t="shared" si="19"/>
        <v>100.17059641601986</v>
      </c>
      <c r="O30" s="16">
        <f t="shared" ref="O30:R30" si="36">$B30*O$20</f>
        <v>180.005</v>
      </c>
      <c r="P30" s="16">
        <f t="shared" si="36"/>
        <v>180.005</v>
      </c>
      <c r="Q30" s="16">
        <f t="shared" si="36"/>
        <v>90.002499999999998</v>
      </c>
      <c r="R30" s="16">
        <f t="shared" si="36"/>
        <v>90.002499999999998</v>
      </c>
      <c r="S30" s="16">
        <f>9163.5</f>
        <v>9163.5</v>
      </c>
      <c r="U30" s="14" t="s">
        <v>28</v>
      </c>
      <c r="V30" s="16">
        <f t="shared" si="15"/>
        <v>-2171206.017</v>
      </c>
      <c r="W30" s="16">
        <f t="shared" ref="W30:Z30" si="37">$V30*W$20</f>
        <v>-1085603.0085</v>
      </c>
      <c r="X30" s="16">
        <f t="shared" si="37"/>
        <v>-434241.2034</v>
      </c>
      <c r="Y30" s="16">
        <f t="shared" si="37"/>
        <v>-434241.2034</v>
      </c>
      <c r="Z30" s="16">
        <f t="shared" si="37"/>
        <v>-217120.6017</v>
      </c>
      <c r="AA30" s="27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ht="12.75" customHeight="1">
      <c r="A31" s="14" t="s">
        <v>29</v>
      </c>
      <c r="B31" s="49">
        <f t="shared" si="5"/>
        <v>996.34</v>
      </c>
      <c r="C31" s="50">
        <f t="shared" si="6"/>
        <v>697.4380000000001</v>
      </c>
      <c r="D31" s="51">
        <f t="shared" si="7"/>
        <v>0</v>
      </c>
      <c r="E31" s="16">
        <f t="shared" si="8"/>
        <v>697.4380000000001</v>
      </c>
      <c r="F31" s="52" t="e">
        <f t="shared" si="9"/>
        <v>#DIV/0!</v>
      </c>
      <c r="G31" s="50">
        <f>COUNTIF(VENTAS!$F$313:$F$340,"&lt;&gt;0")*PRESUPUESTO!$AH$28</f>
        <v>0</v>
      </c>
      <c r="H31" s="51">
        <f t="shared" si="10"/>
        <v>353302.4</v>
      </c>
      <c r="I31" s="16">
        <f t="shared" si="17"/>
        <v>-353302.4</v>
      </c>
      <c r="J31" s="52">
        <f t="shared" si="11"/>
        <v>-100</v>
      </c>
      <c r="K31" s="50">
        <f t="shared" si="12"/>
        <v>298.90199999999999</v>
      </c>
      <c r="L31" s="51">
        <f t="shared" si="13"/>
        <v>-352306.06</v>
      </c>
      <c r="M31" s="16">
        <f t="shared" si="18"/>
        <v>-352604.962</v>
      </c>
      <c r="N31" s="52">
        <f t="shared" si="19"/>
        <v>100.08484157212622</v>
      </c>
      <c r="O31" s="16">
        <f t="shared" ref="O31:R31" si="38">$B31*O$20</f>
        <v>99.634000000000015</v>
      </c>
      <c r="P31" s="16">
        <f t="shared" si="38"/>
        <v>99.634000000000015</v>
      </c>
      <c r="Q31" s="16">
        <f t="shared" si="38"/>
        <v>49.817000000000007</v>
      </c>
      <c r="R31" s="16">
        <f t="shared" si="38"/>
        <v>49.817000000000007</v>
      </c>
      <c r="S31" s="16">
        <f>1430+910+4710+980+3860+5550+843.21</f>
        <v>18283.21</v>
      </c>
      <c r="U31" s="14" t="s">
        <v>29</v>
      </c>
      <c r="V31" s="16">
        <f t="shared" si="15"/>
        <v>-2578968.9270000001</v>
      </c>
      <c r="W31" s="16">
        <f t="shared" ref="W31:Z31" si="39">$V31*W$20</f>
        <v>-1289484.4635000001</v>
      </c>
      <c r="X31" s="16">
        <f t="shared" si="39"/>
        <v>-515793.78540000005</v>
      </c>
      <c r="Y31" s="16">
        <f t="shared" si="39"/>
        <v>-515793.78540000005</v>
      </c>
      <c r="Z31" s="16">
        <f t="shared" si="39"/>
        <v>-257896.89270000003</v>
      </c>
      <c r="AA31" s="27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36" ht="12.75" customHeight="1">
      <c r="A32" s="14" t="s">
        <v>30</v>
      </c>
      <c r="B32" s="49">
        <f t="shared" si="5"/>
        <v>0</v>
      </c>
      <c r="C32" s="50">
        <f t="shared" si="6"/>
        <v>0</v>
      </c>
      <c r="D32" s="51">
        <f t="shared" si="7"/>
        <v>0</v>
      </c>
      <c r="E32" s="16">
        <f t="shared" si="8"/>
        <v>0</v>
      </c>
      <c r="F32" s="52" t="e">
        <f t="shared" si="9"/>
        <v>#DIV/0!</v>
      </c>
      <c r="G32" s="50">
        <f>COUNTIF(VENTAS!$F$341:$F$371,"&lt;&gt;0")*PRESUPUESTO!$AK$28</f>
        <v>0</v>
      </c>
      <c r="H32" s="51">
        <f t="shared" si="10"/>
        <v>28872.2</v>
      </c>
      <c r="I32" s="16">
        <f t="shared" si="17"/>
        <v>-28872.2</v>
      </c>
      <c r="J32" s="52">
        <f t="shared" si="11"/>
        <v>-100</v>
      </c>
      <c r="K32" s="50">
        <f t="shared" si="12"/>
        <v>0</v>
      </c>
      <c r="L32" s="51">
        <f t="shared" si="13"/>
        <v>-28872.2</v>
      </c>
      <c r="M32" s="16">
        <f t="shared" si="18"/>
        <v>-28872.2</v>
      </c>
      <c r="N32" s="52">
        <f t="shared" si="19"/>
        <v>100</v>
      </c>
      <c r="O32" s="16">
        <f t="shared" ref="O32:R32" si="40">$B32*O$20</f>
        <v>0</v>
      </c>
      <c r="P32" s="16">
        <f t="shared" si="40"/>
        <v>0</v>
      </c>
      <c r="Q32" s="16">
        <f t="shared" si="40"/>
        <v>0</v>
      </c>
      <c r="R32" s="16">
        <f t="shared" si="40"/>
        <v>0</v>
      </c>
      <c r="S32" s="16"/>
      <c r="U32" s="14" t="s">
        <v>30</v>
      </c>
      <c r="V32" s="16">
        <f t="shared" si="15"/>
        <v>-2836661.1270000003</v>
      </c>
      <c r="W32" s="16">
        <f t="shared" ref="W32:Z32" si="41">$V32*W$20</f>
        <v>-1418330.5635000002</v>
      </c>
      <c r="X32" s="16">
        <f t="shared" si="41"/>
        <v>-567332.22540000011</v>
      </c>
      <c r="Y32" s="16">
        <f t="shared" si="41"/>
        <v>-567332.22540000011</v>
      </c>
      <c r="Z32" s="16">
        <f t="shared" si="41"/>
        <v>-283666.11270000006</v>
      </c>
      <c r="AA32" s="27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27" ht="12.75">
      <c r="A33" s="53"/>
      <c r="B33" s="54">
        <f t="shared" ref="B33:F33" si="42">SUM(B21:B32)</f>
        <v>8290.51</v>
      </c>
      <c r="C33" s="54">
        <f t="shared" si="42"/>
        <v>5803.357</v>
      </c>
      <c r="D33" s="54">
        <f t="shared" si="42"/>
        <v>0</v>
      </c>
      <c r="E33" s="54">
        <f t="shared" si="42"/>
        <v>5803.357</v>
      </c>
      <c r="F33" s="54" t="e">
        <f t="shared" si="42"/>
        <v>#DIV/0!</v>
      </c>
      <c r="G33" s="54">
        <f>SUM(G21:G31)</f>
        <v>0</v>
      </c>
      <c r="H33" s="54">
        <f t="shared" ref="H33:R33" si="43">SUM(H21:H32)</f>
        <v>2961981.9270000001</v>
      </c>
      <c r="I33" s="54">
        <f t="shared" si="43"/>
        <v>-2961981.9270000001</v>
      </c>
      <c r="J33" s="54">
        <f t="shared" si="43"/>
        <v>-1200</v>
      </c>
      <c r="K33" s="54">
        <f t="shared" si="43"/>
        <v>2487.1529999999998</v>
      </c>
      <c r="L33" s="54">
        <f t="shared" si="43"/>
        <v>-2953691.4169999999</v>
      </c>
      <c r="M33" s="54">
        <f t="shared" si="43"/>
        <v>-2700762.4980000001</v>
      </c>
      <c r="N33" s="54">
        <f t="shared" si="43"/>
        <v>1000.7882933440422</v>
      </c>
      <c r="O33" s="54">
        <f t="shared" si="43"/>
        <v>829.05100000000004</v>
      </c>
      <c r="P33" s="54">
        <f t="shared" si="43"/>
        <v>829.05100000000004</v>
      </c>
      <c r="Q33" s="54">
        <f t="shared" si="43"/>
        <v>414.52550000000002</v>
      </c>
      <c r="R33" s="54">
        <f t="shared" si="43"/>
        <v>414.52550000000002</v>
      </c>
      <c r="S33" s="13"/>
      <c r="U33" s="53"/>
      <c r="V33" s="54">
        <f t="shared" ref="V33:Z33" si="44">SUM(V21:V32)</f>
        <v>-14721684.681000002</v>
      </c>
      <c r="W33" s="54">
        <f t="shared" si="44"/>
        <v>-7360842.3405000009</v>
      </c>
      <c r="X33" s="54">
        <f t="shared" si="44"/>
        <v>-2944336.9362000003</v>
      </c>
      <c r="Y33" s="54">
        <f t="shared" si="44"/>
        <v>-2944336.9362000003</v>
      </c>
      <c r="Z33" s="54">
        <f t="shared" si="44"/>
        <v>-1472168.4681000002</v>
      </c>
      <c r="AA33" s="55"/>
    </row>
    <row r="34" spans="1:27" ht="12.75">
      <c r="C34" s="56"/>
      <c r="D34" s="57"/>
      <c r="E34" s="57"/>
      <c r="F34" s="57"/>
      <c r="G34" s="57"/>
      <c r="H34" s="57"/>
      <c r="I34" s="57"/>
      <c r="J34" s="57"/>
      <c r="M34" s="13"/>
      <c r="Q34" s="455">
        <f>W33+X33</f>
        <v>-10305179.276700001</v>
      </c>
      <c r="R34" s="456"/>
    </row>
    <row r="35" spans="1:27" ht="12.75">
      <c r="C35" s="58" t="s">
        <v>54</v>
      </c>
      <c r="D35" s="58">
        <v>49900</v>
      </c>
      <c r="E35" s="58" t="s">
        <v>54</v>
      </c>
      <c r="F35" s="59">
        <f>K31-F37</f>
        <v>-443701.098</v>
      </c>
      <c r="G35" s="58" t="s">
        <v>55</v>
      </c>
      <c r="K35" s="59">
        <f>K31-165600</f>
        <v>-165301.098</v>
      </c>
      <c r="O35" s="59">
        <f>O31-165600</f>
        <v>-165500.36600000001</v>
      </c>
      <c r="Q35" s="59"/>
    </row>
    <row r="36" spans="1:27" ht="12.75">
      <c r="C36" s="58" t="s">
        <v>56</v>
      </c>
      <c r="D36" s="59">
        <f>H31-D35</f>
        <v>303402.40000000002</v>
      </c>
      <c r="E36" s="58" t="s">
        <v>56</v>
      </c>
      <c r="G36" s="58" t="s">
        <v>57</v>
      </c>
      <c r="L36" s="58">
        <f>113000+59000+13000</f>
        <v>185000</v>
      </c>
      <c r="M36" s="58">
        <f>L36+417000</f>
        <v>602000</v>
      </c>
      <c r="Q36" s="59"/>
      <c r="R36" s="58" t="s">
        <v>58</v>
      </c>
      <c r="S36" s="60">
        <v>444000</v>
      </c>
    </row>
    <row r="37" spans="1:27" ht="12.75">
      <c r="C37" s="58" t="s">
        <v>33</v>
      </c>
      <c r="D37" s="58">
        <f>SUM(D35:D36)</f>
        <v>353302.4</v>
      </c>
      <c r="F37" s="58">
        <v>444000</v>
      </c>
      <c r="G37" s="58">
        <v>370</v>
      </c>
      <c r="H37" s="58">
        <f>F37/G37</f>
        <v>1200</v>
      </c>
      <c r="I37" s="61">
        <v>44995</v>
      </c>
      <c r="Q37" s="59"/>
      <c r="R37" s="58" t="s">
        <v>59</v>
      </c>
      <c r="S37" s="60">
        <f>'RESUMEN CIERRE'!D17</f>
        <v>288120</v>
      </c>
    </row>
    <row r="38" spans="1:27" ht="12.75">
      <c r="Q38" s="59"/>
      <c r="R38" s="59"/>
      <c r="S38" s="60">
        <f>SUM(S36:S37)</f>
        <v>732120</v>
      </c>
    </row>
    <row r="39" spans="1:27" ht="12.75">
      <c r="R39" s="59" t="s">
        <v>60</v>
      </c>
      <c r="S39" s="60">
        <f>K31+G30</f>
        <v>298.90199999999999</v>
      </c>
    </row>
    <row r="40" spans="1:27" ht="12.75">
      <c r="R40" s="59" t="s">
        <v>37</v>
      </c>
      <c r="S40" s="60">
        <f>S39-S38</f>
        <v>-731821.098</v>
      </c>
    </row>
    <row r="41" spans="1:27" ht="12.75">
      <c r="R41" s="59"/>
    </row>
    <row r="42" spans="1:27" ht="12.75">
      <c r="R42" s="59"/>
    </row>
    <row r="43" spans="1:27" ht="12.75">
      <c r="R43" s="59"/>
    </row>
    <row r="44" spans="1:27" ht="12.75">
      <c r="R44" s="59"/>
    </row>
    <row r="45" spans="1:27" ht="12.75">
      <c r="R45" s="59"/>
    </row>
    <row r="46" spans="1:27" ht="12.75">
      <c r="R46" s="59"/>
    </row>
    <row r="47" spans="1:27" ht="12.75">
      <c r="R47" s="59"/>
    </row>
    <row r="48" spans="1:27" ht="12.75">
      <c r="R48" s="59"/>
    </row>
    <row r="49" spans="18:18" ht="12.75">
      <c r="R49" s="59"/>
    </row>
    <row r="50" spans="18:18" ht="12.75">
      <c r="R50" s="59"/>
    </row>
    <row r="51" spans="18:18" ht="12.75">
      <c r="R51" s="59"/>
    </row>
    <row r="52" spans="18:18" ht="12.75">
      <c r="R52" s="59"/>
    </row>
    <row r="53" spans="18:18" ht="12.75">
      <c r="R53" s="59"/>
    </row>
    <row r="54" spans="18:18" ht="12.75">
      <c r="R54" s="59"/>
    </row>
    <row r="55" spans="18:18" ht="12.75">
      <c r="R55" s="59"/>
    </row>
    <row r="56" spans="18:18" ht="12.75">
      <c r="R56" s="59"/>
    </row>
    <row r="57" spans="18:18" ht="12.75">
      <c r="R57" s="59"/>
    </row>
    <row r="58" spans="18:18" ht="12.75">
      <c r="R58" s="59"/>
    </row>
    <row r="59" spans="18:18" ht="12.75">
      <c r="R59" s="59"/>
    </row>
    <row r="60" spans="18:18" ht="12.75">
      <c r="R60" s="59"/>
    </row>
    <row r="61" spans="18:18" ht="12.75">
      <c r="R61" s="59"/>
    </row>
    <row r="62" spans="18:18" ht="12.75">
      <c r="R62" s="59"/>
    </row>
    <row r="63" spans="18:18" ht="12.75">
      <c r="R63" s="59"/>
    </row>
    <row r="64" spans="18:18" ht="12.75">
      <c r="R64" s="59"/>
    </row>
    <row r="65" spans="18:18" ht="12.75">
      <c r="R65" s="59"/>
    </row>
    <row r="66" spans="18:18" ht="12.75">
      <c r="R66" s="59"/>
    </row>
    <row r="67" spans="18:18" ht="12.75">
      <c r="R67" s="59"/>
    </row>
    <row r="68" spans="18:18" ht="12.75">
      <c r="R68" s="59"/>
    </row>
    <row r="69" spans="18:18" ht="12.75">
      <c r="R69" s="59"/>
    </row>
    <row r="70" spans="18:18" ht="12.75">
      <c r="R70" s="59"/>
    </row>
    <row r="71" spans="18:18" ht="12.75">
      <c r="R71" s="59"/>
    </row>
    <row r="72" spans="18:18" ht="12.75">
      <c r="R72" s="59"/>
    </row>
    <row r="73" spans="18:18" ht="12.75">
      <c r="R73" s="59"/>
    </row>
    <row r="74" spans="18:18" ht="12.75">
      <c r="R74" s="59"/>
    </row>
    <row r="75" spans="18:18" ht="12.75">
      <c r="R75" s="59"/>
    </row>
    <row r="76" spans="18:18" ht="12.75">
      <c r="R76" s="59"/>
    </row>
    <row r="77" spans="18:18" ht="12.75">
      <c r="R77" s="59"/>
    </row>
    <row r="78" spans="18:18" ht="12.75">
      <c r="R78" s="59"/>
    </row>
    <row r="79" spans="18:18" ht="12.75">
      <c r="R79" s="59"/>
    </row>
    <row r="80" spans="18:18" ht="12.75">
      <c r="R80" s="59"/>
    </row>
    <row r="81" spans="18:18" ht="12.75">
      <c r="R81" s="59"/>
    </row>
    <row r="82" spans="18:18" ht="12.75">
      <c r="R82" s="59"/>
    </row>
    <row r="83" spans="18:18" ht="12.75">
      <c r="R83" s="59"/>
    </row>
    <row r="84" spans="18:18" ht="12.75">
      <c r="R84" s="59"/>
    </row>
    <row r="85" spans="18:18" ht="12.75">
      <c r="R85" s="59"/>
    </row>
    <row r="86" spans="18:18" ht="12.75">
      <c r="R86" s="59"/>
    </row>
    <row r="87" spans="18:18" ht="12.75">
      <c r="R87" s="59"/>
    </row>
    <row r="88" spans="18:18" ht="12.75">
      <c r="R88" s="59"/>
    </row>
    <row r="89" spans="18:18" ht="12.75">
      <c r="R89" s="59"/>
    </row>
    <row r="90" spans="18:18" ht="12.75">
      <c r="R90" s="59"/>
    </row>
    <row r="91" spans="18:18" ht="12.75">
      <c r="R91" s="59"/>
    </row>
    <row r="92" spans="18:18" ht="12.75">
      <c r="R92" s="59"/>
    </row>
    <row r="93" spans="18:18" ht="12.75">
      <c r="R93" s="59"/>
    </row>
    <row r="94" spans="18:18" ht="12.75">
      <c r="R94" s="59"/>
    </row>
    <row r="95" spans="18:18" ht="12.75">
      <c r="R95" s="59"/>
    </row>
    <row r="96" spans="18:18" ht="12.75">
      <c r="R96" s="59"/>
    </row>
    <row r="97" spans="18:18" ht="12.75">
      <c r="R97" s="59"/>
    </row>
    <row r="98" spans="18:18" ht="12.75">
      <c r="R98" s="59"/>
    </row>
    <row r="99" spans="18:18" ht="12.75">
      <c r="R99" s="59"/>
    </row>
    <row r="100" spans="18:18" ht="12.75">
      <c r="R100" s="59"/>
    </row>
    <row r="101" spans="18:18" ht="12.75">
      <c r="R101" s="59"/>
    </row>
    <row r="102" spans="18:18" ht="12.75">
      <c r="R102" s="59"/>
    </row>
    <row r="103" spans="18:18" ht="12.75">
      <c r="R103" s="59"/>
    </row>
    <row r="104" spans="18:18" ht="12.75">
      <c r="R104" s="59"/>
    </row>
    <row r="105" spans="18:18" ht="12.75">
      <c r="R105" s="59"/>
    </row>
    <row r="106" spans="18:18" ht="12.75">
      <c r="R106" s="59"/>
    </row>
    <row r="107" spans="18:18" ht="12.75">
      <c r="R107" s="59"/>
    </row>
    <row r="108" spans="18:18" ht="12.75">
      <c r="R108" s="59"/>
    </row>
    <row r="109" spans="18:18" ht="12.75">
      <c r="R109" s="59"/>
    </row>
    <row r="110" spans="18:18" ht="12.75">
      <c r="R110" s="59"/>
    </row>
    <row r="111" spans="18:18" ht="12.75">
      <c r="R111" s="59"/>
    </row>
    <row r="112" spans="18:18" ht="12.75">
      <c r="R112" s="59"/>
    </row>
    <row r="113" spans="18:18" ht="12.75">
      <c r="R113" s="59"/>
    </row>
    <row r="114" spans="18:18" ht="12.75">
      <c r="R114" s="59"/>
    </row>
    <row r="115" spans="18:18" ht="12.75">
      <c r="R115" s="59"/>
    </row>
    <row r="116" spans="18:18" ht="12.75">
      <c r="R116" s="59"/>
    </row>
    <row r="117" spans="18:18" ht="12.75">
      <c r="R117" s="59"/>
    </row>
    <row r="118" spans="18:18" ht="12.75">
      <c r="R118" s="59"/>
    </row>
    <row r="119" spans="18:18" ht="12.75">
      <c r="R119" s="59"/>
    </row>
    <row r="120" spans="18:18" ht="12.75">
      <c r="R120" s="59"/>
    </row>
    <row r="121" spans="18:18" ht="12.75">
      <c r="R121" s="59"/>
    </row>
    <row r="122" spans="18:18" ht="12.75">
      <c r="R122" s="59"/>
    </row>
    <row r="123" spans="18:18" ht="12.75">
      <c r="R123" s="59"/>
    </row>
    <row r="124" spans="18:18" ht="12.75">
      <c r="R124" s="59"/>
    </row>
    <row r="125" spans="18:18" ht="12.75">
      <c r="R125" s="59"/>
    </row>
    <row r="126" spans="18:18" ht="12.75">
      <c r="R126" s="59"/>
    </row>
    <row r="127" spans="18:18" ht="12.75">
      <c r="R127" s="59"/>
    </row>
    <row r="128" spans="18:18" ht="12.75">
      <c r="R128" s="59"/>
    </row>
    <row r="129" spans="18:18" ht="12.75">
      <c r="R129" s="59"/>
    </row>
    <row r="130" spans="18:18" ht="12.75">
      <c r="R130" s="59"/>
    </row>
    <row r="131" spans="18:18" ht="12.75">
      <c r="R131" s="59"/>
    </row>
    <row r="132" spans="18:18" ht="12.75">
      <c r="R132" s="59"/>
    </row>
    <row r="133" spans="18:18" ht="12.75">
      <c r="R133" s="59"/>
    </row>
    <row r="134" spans="18:18" ht="12.75">
      <c r="R134" s="59"/>
    </row>
    <row r="135" spans="18:18" ht="12.75">
      <c r="R135" s="59"/>
    </row>
    <row r="136" spans="18:18" ht="12.75">
      <c r="R136" s="59"/>
    </row>
    <row r="137" spans="18:18" ht="12.75">
      <c r="R137" s="59"/>
    </row>
    <row r="138" spans="18:18" ht="12.75">
      <c r="R138" s="59"/>
    </row>
    <row r="139" spans="18:18" ht="12.75">
      <c r="R139" s="59"/>
    </row>
    <row r="140" spans="18:18" ht="12.75">
      <c r="R140" s="59"/>
    </row>
    <row r="141" spans="18:18" ht="12.75">
      <c r="R141" s="59"/>
    </row>
    <row r="142" spans="18:18" ht="12.75">
      <c r="R142" s="59"/>
    </row>
    <row r="143" spans="18:18" ht="12.75">
      <c r="R143" s="59"/>
    </row>
    <row r="144" spans="18:18" ht="12.75">
      <c r="R144" s="59"/>
    </row>
    <row r="145" spans="18:18" ht="12.75">
      <c r="R145" s="59"/>
    </row>
    <row r="146" spans="18:18" ht="12.75">
      <c r="R146" s="59"/>
    </row>
    <row r="147" spans="18:18" ht="12.75">
      <c r="R147" s="59"/>
    </row>
    <row r="148" spans="18:18" ht="12.75">
      <c r="R148" s="59"/>
    </row>
    <row r="149" spans="18:18" ht="12.75">
      <c r="R149" s="59"/>
    </row>
    <row r="150" spans="18:18" ht="12.75">
      <c r="R150" s="59"/>
    </row>
    <row r="151" spans="18:18" ht="12.75">
      <c r="R151" s="59"/>
    </row>
    <row r="152" spans="18:18" ht="12.75">
      <c r="R152" s="59"/>
    </row>
    <row r="153" spans="18:18" ht="12.75">
      <c r="R153" s="59"/>
    </row>
    <row r="154" spans="18:18" ht="12.75">
      <c r="R154" s="59"/>
    </row>
    <row r="155" spans="18:18" ht="12.75">
      <c r="R155" s="59"/>
    </row>
    <row r="156" spans="18:18" ht="12.75">
      <c r="R156" s="59"/>
    </row>
    <row r="157" spans="18:18" ht="12.75">
      <c r="R157" s="59"/>
    </row>
    <row r="158" spans="18:18" ht="12.75">
      <c r="R158" s="59"/>
    </row>
    <row r="159" spans="18:18" ht="12.75">
      <c r="R159" s="59"/>
    </row>
    <row r="160" spans="18:18" ht="12.75">
      <c r="R160" s="59"/>
    </row>
    <row r="161" spans="18:18" ht="12.75">
      <c r="R161" s="59"/>
    </row>
    <row r="162" spans="18:18" ht="12.75">
      <c r="R162" s="59"/>
    </row>
    <row r="163" spans="18:18" ht="12.75">
      <c r="R163" s="59"/>
    </row>
    <row r="164" spans="18:18" ht="12.75">
      <c r="R164" s="59"/>
    </row>
    <row r="165" spans="18:18" ht="12.75">
      <c r="R165" s="59"/>
    </row>
    <row r="166" spans="18:18" ht="12.75">
      <c r="R166" s="59"/>
    </row>
    <row r="167" spans="18:18" ht="12.75">
      <c r="R167" s="59"/>
    </row>
    <row r="168" spans="18:18" ht="12.75">
      <c r="R168" s="59"/>
    </row>
    <row r="169" spans="18:18" ht="12.75">
      <c r="R169" s="59"/>
    </row>
    <row r="170" spans="18:18" ht="12.75">
      <c r="R170" s="59"/>
    </row>
    <row r="171" spans="18:18" ht="12.75">
      <c r="R171" s="59"/>
    </row>
    <row r="172" spans="18:18" ht="12.75">
      <c r="R172" s="59"/>
    </row>
    <row r="173" spans="18:18" ht="12.75">
      <c r="R173" s="59"/>
    </row>
    <row r="174" spans="18:18" ht="12.75">
      <c r="R174" s="59"/>
    </row>
    <row r="175" spans="18:18" ht="12.75">
      <c r="R175" s="59"/>
    </row>
    <row r="176" spans="18:18" ht="12.75">
      <c r="R176" s="59"/>
    </row>
    <row r="177" spans="18:18" ht="12.75">
      <c r="R177" s="59"/>
    </row>
    <row r="178" spans="18:18" ht="12.75">
      <c r="R178" s="59"/>
    </row>
    <row r="179" spans="18:18" ht="12.75">
      <c r="R179" s="59"/>
    </row>
    <row r="180" spans="18:18" ht="12.75">
      <c r="R180" s="59"/>
    </row>
    <row r="181" spans="18:18" ht="12.75">
      <c r="R181" s="59"/>
    </row>
    <row r="182" spans="18:18" ht="12.75">
      <c r="R182" s="59"/>
    </row>
    <row r="183" spans="18:18" ht="12.75">
      <c r="R183" s="59"/>
    </row>
    <row r="184" spans="18:18" ht="12.75">
      <c r="R184" s="59"/>
    </row>
    <row r="185" spans="18:18" ht="12.75">
      <c r="R185" s="59"/>
    </row>
    <row r="186" spans="18:18" ht="12.75">
      <c r="R186" s="59"/>
    </row>
    <row r="187" spans="18:18" ht="12.75">
      <c r="R187" s="59"/>
    </row>
    <row r="188" spans="18:18" ht="12.75">
      <c r="R188" s="59"/>
    </row>
    <row r="189" spans="18:18" ht="12.75">
      <c r="R189" s="59"/>
    </row>
    <row r="190" spans="18:18" ht="12.75">
      <c r="R190" s="59"/>
    </row>
    <row r="191" spans="18:18" ht="12.75">
      <c r="R191" s="59"/>
    </row>
    <row r="192" spans="18:18" ht="12.75">
      <c r="R192" s="59"/>
    </row>
    <row r="193" spans="18:18" ht="12.75">
      <c r="R193" s="59"/>
    </row>
    <row r="194" spans="18:18" ht="12.75">
      <c r="R194" s="59"/>
    </row>
    <row r="195" spans="18:18" ht="12.75">
      <c r="R195" s="59"/>
    </row>
    <row r="196" spans="18:18" ht="12.75">
      <c r="R196" s="59"/>
    </row>
    <row r="197" spans="18:18" ht="12.75">
      <c r="R197" s="59"/>
    </row>
    <row r="198" spans="18:18" ht="12.75">
      <c r="R198" s="59"/>
    </row>
    <row r="199" spans="18:18" ht="12.75">
      <c r="R199" s="59"/>
    </row>
    <row r="200" spans="18:18" ht="12.75">
      <c r="R200" s="59"/>
    </row>
    <row r="201" spans="18:18" ht="12.75">
      <c r="R201" s="59"/>
    </row>
    <row r="202" spans="18:18" ht="12.75">
      <c r="R202" s="59"/>
    </row>
    <row r="203" spans="18:18" ht="12.75">
      <c r="R203" s="59"/>
    </row>
    <row r="204" spans="18:18" ht="12.75">
      <c r="R204" s="59"/>
    </row>
    <row r="205" spans="18:18" ht="12.75">
      <c r="R205" s="59"/>
    </row>
    <row r="206" spans="18:18" ht="12.75">
      <c r="R206" s="59"/>
    </row>
    <row r="207" spans="18:18" ht="12.75">
      <c r="R207" s="59"/>
    </row>
    <row r="208" spans="18:18" ht="12.75">
      <c r="R208" s="59"/>
    </row>
    <row r="209" spans="18:18" ht="12.75">
      <c r="R209" s="59"/>
    </row>
    <row r="210" spans="18:18" ht="12.75">
      <c r="R210" s="59"/>
    </row>
    <row r="211" spans="18:18" ht="12.75">
      <c r="R211" s="59"/>
    </row>
    <row r="212" spans="18:18" ht="12.75">
      <c r="R212" s="59"/>
    </row>
    <row r="213" spans="18:18" ht="12.75">
      <c r="R213" s="59"/>
    </row>
    <row r="214" spans="18:18" ht="12.75">
      <c r="R214" s="59"/>
    </row>
    <row r="215" spans="18:18" ht="12.75">
      <c r="R215" s="59"/>
    </row>
    <row r="216" spans="18:18" ht="12.75">
      <c r="R216" s="59"/>
    </row>
    <row r="217" spans="18:18" ht="12.75">
      <c r="R217" s="59"/>
    </row>
    <row r="218" spans="18:18" ht="12.75">
      <c r="R218" s="59"/>
    </row>
    <row r="219" spans="18:18" ht="12.75">
      <c r="R219" s="59"/>
    </row>
    <row r="220" spans="18:18" ht="12.75">
      <c r="R220" s="59"/>
    </row>
    <row r="221" spans="18:18" ht="12.75">
      <c r="R221" s="59"/>
    </row>
    <row r="222" spans="18:18" ht="12.75">
      <c r="R222" s="59"/>
    </row>
    <row r="223" spans="18:18" ht="12.75">
      <c r="R223" s="59"/>
    </row>
    <row r="224" spans="18:18" ht="12.75">
      <c r="R224" s="59"/>
    </row>
    <row r="225" spans="18:18" ht="12.75">
      <c r="R225" s="59"/>
    </row>
    <row r="226" spans="18:18" ht="12.75">
      <c r="R226" s="59"/>
    </row>
    <row r="227" spans="18:18" ht="12.75">
      <c r="R227" s="59"/>
    </row>
    <row r="228" spans="18:18" ht="12.75">
      <c r="R228" s="59"/>
    </row>
    <row r="229" spans="18:18" ht="12.75">
      <c r="R229" s="59"/>
    </row>
    <row r="230" spans="18:18" ht="12.75">
      <c r="R230" s="59"/>
    </row>
    <row r="231" spans="18:18" ht="12.75">
      <c r="R231" s="59"/>
    </row>
    <row r="232" spans="18:18" ht="12.75">
      <c r="R232" s="59"/>
    </row>
    <row r="233" spans="18:18" ht="12.75">
      <c r="R233" s="59"/>
    </row>
    <row r="234" spans="18:18" ht="12.75">
      <c r="R234" s="59"/>
    </row>
    <row r="235" spans="18:18" ht="12.75">
      <c r="R235" s="59"/>
    </row>
    <row r="236" spans="18:18" ht="12.75">
      <c r="R236" s="59"/>
    </row>
    <row r="237" spans="18:18" ht="12.75">
      <c r="R237" s="59"/>
    </row>
    <row r="238" spans="18:18" ht="12.75">
      <c r="R238" s="59"/>
    </row>
    <row r="239" spans="18:18" ht="12.75">
      <c r="R239" s="59"/>
    </row>
    <row r="240" spans="18:18" ht="12.75">
      <c r="R240" s="59"/>
    </row>
    <row r="241" spans="18:18" ht="12.75">
      <c r="R241" s="59"/>
    </row>
    <row r="242" spans="18:18" ht="12.75">
      <c r="R242" s="59"/>
    </row>
    <row r="243" spans="18:18" ht="12.75">
      <c r="R243" s="59"/>
    </row>
    <row r="244" spans="18:18" ht="12.75">
      <c r="R244" s="59"/>
    </row>
    <row r="245" spans="18:18" ht="12.75">
      <c r="R245" s="59"/>
    </row>
    <row r="246" spans="18:18" ht="12.75">
      <c r="R246" s="59"/>
    </row>
    <row r="247" spans="18:18" ht="12.75">
      <c r="R247" s="59"/>
    </row>
    <row r="248" spans="18:18" ht="12.75">
      <c r="R248" s="59"/>
    </row>
    <row r="249" spans="18:18" ht="12.75">
      <c r="R249" s="59"/>
    </row>
    <row r="250" spans="18:18" ht="12.75">
      <c r="R250" s="59"/>
    </row>
    <row r="251" spans="18:18" ht="12.75">
      <c r="R251" s="59"/>
    </row>
    <row r="252" spans="18:18" ht="12.75">
      <c r="R252" s="59"/>
    </row>
    <row r="253" spans="18:18" ht="12.75">
      <c r="R253" s="59"/>
    </row>
    <row r="254" spans="18:18" ht="12.75">
      <c r="R254" s="59"/>
    </row>
    <row r="255" spans="18:18" ht="12.75">
      <c r="R255" s="59"/>
    </row>
    <row r="256" spans="18:18" ht="12.75">
      <c r="R256" s="59"/>
    </row>
    <row r="257" spans="18:18" ht="12.75">
      <c r="R257" s="59"/>
    </row>
    <row r="258" spans="18:18" ht="12.75">
      <c r="R258" s="59"/>
    </row>
    <row r="259" spans="18:18" ht="12.75">
      <c r="R259" s="59"/>
    </row>
    <row r="260" spans="18:18" ht="12.75">
      <c r="R260" s="59"/>
    </row>
    <row r="261" spans="18:18" ht="12.75">
      <c r="R261" s="59"/>
    </row>
    <row r="262" spans="18:18" ht="12.75">
      <c r="R262" s="59"/>
    </row>
    <row r="263" spans="18:18" ht="12.75">
      <c r="R263" s="59"/>
    </row>
    <row r="264" spans="18:18" ht="12.75">
      <c r="R264" s="59"/>
    </row>
    <row r="265" spans="18:18" ht="12.75">
      <c r="R265" s="59"/>
    </row>
    <row r="266" spans="18:18" ht="12.75">
      <c r="R266" s="59"/>
    </row>
    <row r="267" spans="18:18" ht="12.75">
      <c r="R267" s="59"/>
    </row>
    <row r="268" spans="18:18" ht="12.75">
      <c r="R268" s="59"/>
    </row>
    <row r="269" spans="18:18" ht="12.75">
      <c r="R269" s="59"/>
    </row>
    <row r="270" spans="18:18" ht="12.75">
      <c r="R270" s="59"/>
    </row>
    <row r="271" spans="18:18" ht="12.75">
      <c r="R271" s="59"/>
    </row>
    <row r="272" spans="18:18" ht="12.75">
      <c r="R272" s="59"/>
    </row>
    <row r="273" spans="18:18" ht="12.75">
      <c r="R273" s="59"/>
    </row>
    <row r="274" spans="18:18" ht="12.75">
      <c r="R274" s="59"/>
    </row>
    <row r="275" spans="18:18" ht="12.75">
      <c r="R275" s="59"/>
    </row>
    <row r="276" spans="18:18" ht="12.75">
      <c r="R276" s="59"/>
    </row>
    <row r="277" spans="18:18" ht="12.75">
      <c r="R277" s="59"/>
    </row>
    <row r="278" spans="18:18" ht="12.75">
      <c r="R278" s="59"/>
    </row>
    <row r="279" spans="18:18" ht="12.75">
      <c r="R279" s="59"/>
    </row>
    <row r="280" spans="18:18" ht="12.75">
      <c r="R280" s="59"/>
    </row>
    <row r="281" spans="18:18" ht="12.75">
      <c r="R281" s="59"/>
    </row>
    <row r="282" spans="18:18" ht="12.75">
      <c r="R282" s="59"/>
    </row>
    <row r="283" spans="18:18" ht="12.75">
      <c r="R283" s="59"/>
    </row>
    <row r="284" spans="18:18" ht="12.75">
      <c r="R284" s="59"/>
    </row>
    <row r="285" spans="18:18" ht="12.75">
      <c r="R285" s="59"/>
    </row>
    <row r="286" spans="18:18" ht="12.75">
      <c r="R286" s="59"/>
    </row>
    <row r="287" spans="18:18" ht="12.75">
      <c r="R287" s="59"/>
    </row>
    <row r="288" spans="18:18" ht="12.75">
      <c r="R288" s="59"/>
    </row>
    <row r="289" spans="18:18" ht="12.75">
      <c r="R289" s="59"/>
    </row>
    <row r="290" spans="18:18" ht="12.75">
      <c r="R290" s="59"/>
    </row>
    <row r="291" spans="18:18" ht="12.75">
      <c r="R291" s="59"/>
    </row>
    <row r="292" spans="18:18" ht="12.75">
      <c r="R292" s="59"/>
    </row>
    <row r="293" spans="18:18" ht="12.75">
      <c r="R293" s="59"/>
    </row>
    <row r="294" spans="18:18" ht="12.75">
      <c r="R294" s="59"/>
    </row>
    <row r="295" spans="18:18" ht="12.75">
      <c r="R295" s="59"/>
    </row>
    <row r="296" spans="18:18" ht="12.75">
      <c r="R296" s="59"/>
    </row>
    <row r="297" spans="18:18" ht="12.75">
      <c r="R297" s="59"/>
    </row>
    <row r="298" spans="18:18" ht="12.75">
      <c r="R298" s="59"/>
    </row>
    <row r="299" spans="18:18" ht="12.75">
      <c r="R299" s="59"/>
    </row>
    <row r="300" spans="18:18" ht="12.75">
      <c r="R300" s="59"/>
    </row>
    <row r="301" spans="18:18" ht="12.75">
      <c r="R301" s="59"/>
    </row>
    <row r="302" spans="18:18" ht="12.75">
      <c r="R302" s="59"/>
    </row>
    <row r="303" spans="18:18" ht="12.75">
      <c r="R303" s="59"/>
    </row>
    <row r="304" spans="18:18" ht="12.75">
      <c r="R304" s="59"/>
    </row>
    <row r="305" spans="18:18" ht="12.75">
      <c r="R305" s="59"/>
    </row>
    <row r="306" spans="18:18" ht="12.75">
      <c r="R306" s="59"/>
    </row>
    <row r="307" spans="18:18" ht="12.75">
      <c r="R307" s="59"/>
    </row>
    <row r="308" spans="18:18" ht="12.75">
      <c r="R308" s="59"/>
    </row>
    <row r="309" spans="18:18" ht="12.75">
      <c r="R309" s="59"/>
    </row>
    <row r="310" spans="18:18" ht="12.75">
      <c r="R310" s="59"/>
    </row>
    <row r="311" spans="18:18" ht="12.75">
      <c r="R311" s="59"/>
    </row>
    <row r="312" spans="18:18" ht="12.75">
      <c r="R312" s="59"/>
    </row>
    <row r="313" spans="18:18" ht="12.75">
      <c r="R313" s="59"/>
    </row>
    <row r="314" spans="18:18" ht="12.75">
      <c r="R314" s="59"/>
    </row>
    <row r="315" spans="18:18" ht="12.75">
      <c r="R315" s="59"/>
    </row>
    <row r="316" spans="18:18" ht="12.75">
      <c r="R316" s="59"/>
    </row>
    <row r="317" spans="18:18" ht="12.75">
      <c r="R317" s="59"/>
    </row>
    <row r="318" spans="18:18" ht="12.75">
      <c r="R318" s="59"/>
    </row>
    <row r="319" spans="18:18" ht="12.75">
      <c r="R319" s="59"/>
    </row>
    <row r="320" spans="18:18" ht="12.75">
      <c r="R320" s="59"/>
    </row>
    <row r="321" spans="18:18" ht="12.75">
      <c r="R321" s="59"/>
    </row>
    <row r="322" spans="18:18" ht="12.75">
      <c r="R322" s="59"/>
    </row>
    <row r="323" spans="18:18" ht="12.75">
      <c r="R323" s="59"/>
    </row>
    <row r="324" spans="18:18" ht="12.75">
      <c r="R324" s="59"/>
    </row>
    <row r="325" spans="18:18" ht="12.75">
      <c r="R325" s="59"/>
    </row>
    <row r="326" spans="18:18" ht="12.75">
      <c r="R326" s="59"/>
    </row>
    <row r="327" spans="18:18" ht="12.75">
      <c r="R327" s="59"/>
    </row>
    <row r="328" spans="18:18" ht="12.75">
      <c r="R328" s="59"/>
    </row>
    <row r="329" spans="18:18" ht="12.75">
      <c r="R329" s="59"/>
    </row>
    <row r="330" spans="18:18" ht="12.75">
      <c r="R330" s="59"/>
    </row>
    <row r="331" spans="18:18" ht="12.75">
      <c r="R331" s="59"/>
    </row>
    <row r="332" spans="18:18" ht="12.75">
      <c r="R332" s="59"/>
    </row>
    <row r="333" spans="18:18" ht="12.75">
      <c r="R333" s="59"/>
    </row>
    <row r="334" spans="18:18" ht="12.75">
      <c r="R334" s="59"/>
    </row>
    <row r="335" spans="18:18" ht="12.75">
      <c r="R335" s="59"/>
    </row>
    <row r="336" spans="18:18" ht="12.75">
      <c r="R336" s="59"/>
    </row>
    <row r="337" spans="18:18" ht="12.75">
      <c r="R337" s="59"/>
    </row>
    <row r="338" spans="18:18" ht="12.75">
      <c r="R338" s="59"/>
    </row>
    <row r="339" spans="18:18" ht="12.75">
      <c r="R339" s="59"/>
    </row>
    <row r="340" spans="18:18" ht="12.75">
      <c r="R340" s="59"/>
    </row>
    <row r="341" spans="18:18" ht="12.75">
      <c r="R341" s="59"/>
    </row>
    <row r="342" spans="18:18" ht="12.75">
      <c r="R342" s="59"/>
    </row>
    <row r="343" spans="18:18" ht="12.75">
      <c r="R343" s="59"/>
    </row>
    <row r="344" spans="18:18" ht="12.75">
      <c r="R344" s="59"/>
    </row>
    <row r="345" spans="18:18" ht="12.75">
      <c r="R345" s="59"/>
    </row>
    <row r="346" spans="18:18" ht="12.75">
      <c r="R346" s="59"/>
    </row>
    <row r="347" spans="18:18" ht="12.75">
      <c r="R347" s="59"/>
    </row>
    <row r="348" spans="18:18" ht="12.75">
      <c r="R348" s="59"/>
    </row>
    <row r="349" spans="18:18" ht="12.75">
      <c r="R349" s="59"/>
    </row>
    <row r="350" spans="18:18" ht="12.75">
      <c r="R350" s="59"/>
    </row>
    <row r="351" spans="18:18" ht="12.75">
      <c r="R351" s="59"/>
    </row>
    <row r="352" spans="18:18" ht="12.75">
      <c r="R352" s="59"/>
    </row>
    <row r="353" spans="18:18" ht="12.75">
      <c r="R353" s="59"/>
    </row>
    <row r="354" spans="18:18" ht="12.75">
      <c r="R354" s="59"/>
    </row>
    <row r="355" spans="18:18" ht="12.75">
      <c r="R355" s="59"/>
    </row>
    <row r="356" spans="18:18" ht="12.75">
      <c r="R356" s="59"/>
    </row>
    <row r="357" spans="18:18" ht="12.75">
      <c r="R357" s="59"/>
    </row>
    <row r="358" spans="18:18" ht="12.75">
      <c r="R358" s="59"/>
    </row>
    <row r="359" spans="18:18" ht="12.75">
      <c r="R359" s="59"/>
    </row>
    <row r="360" spans="18:18" ht="12.75">
      <c r="R360" s="59"/>
    </row>
    <row r="361" spans="18:18" ht="12.75">
      <c r="R361" s="59"/>
    </row>
    <row r="362" spans="18:18" ht="12.75">
      <c r="R362" s="59"/>
    </row>
    <row r="363" spans="18:18" ht="12.75">
      <c r="R363" s="59"/>
    </row>
    <row r="364" spans="18:18" ht="12.75">
      <c r="R364" s="59"/>
    </row>
    <row r="365" spans="18:18" ht="12.75">
      <c r="R365" s="59"/>
    </row>
    <row r="366" spans="18:18" ht="12.75">
      <c r="R366" s="59"/>
    </row>
    <row r="367" spans="18:18" ht="12.75">
      <c r="R367" s="59"/>
    </row>
    <row r="368" spans="18:18" ht="12.75">
      <c r="R368" s="59"/>
    </row>
    <row r="369" spans="18:18" ht="12.75">
      <c r="R369" s="59"/>
    </row>
    <row r="370" spans="18:18" ht="12.75">
      <c r="R370" s="59"/>
    </row>
    <row r="371" spans="18:18" ht="12.75">
      <c r="R371" s="59"/>
    </row>
    <row r="372" spans="18:18" ht="12.75">
      <c r="R372" s="59"/>
    </row>
    <row r="373" spans="18:18" ht="12.75">
      <c r="R373" s="59"/>
    </row>
    <row r="374" spans="18:18" ht="12.75">
      <c r="R374" s="59"/>
    </row>
    <row r="375" spans="18:18" ht="12.75">
      <c r="R375" s="59"/>
    </row>
    <row r="376" spans="18:18" ht="12.75">
      <c r="R376" s="59"/>
    </row>
    <row r="377" spans="18:18" ht="12.75">
      <c r="R377" s="59"/>
    </row>
    <row r="378" spans="18:18" ht="12.75">
      <c r="R378" s="59"/>
    </row>
    <row r="379" spans="18:18" ht="12.75">
      <c r="R379" s="59"/>
    </row>
    <row r="380" spans="18:18" ht="12.75">
      <c r="R380" s="59"/>
    </row>
    <row r="381" spans="18:18" ht="12.75">
      <c r="R381" s="59"/>
    </row>
    <row r="382" spans="18:18" ht="12.75">
      <c r="R382" s="59"/>
    </row>
    <row r="383" spans="18:18" ht="12.75">
      <c r="R383" s="59"/>
    </row>
    <row r="384" spans="18:18" ht="12.75">
      <c r="R384" s="59"/>
    </row>
    <row r="385" spans="18:18" ht="12.75">
      <c r="R385" s="59"/>
    </row>
    <row r="386" spans="18:18" ht="12.75">
      <c r="R386" s="59"/>
    </row>
    <row r="387" spans="18:18" ht="12.75">
      <c r="R387" s="59"/>
    </row>
    <row r="388" spans="18:18" ht="12.75">
      <c r="R388" s="59"/>
    </row>
    <row r="389" spans="18:18" ht="12.75">
      <c r="R389" s="59"/>
    </row>
    <row r="390" spans="18:18" ht="12.75">
      <c r="R390" s="59"/>
    </row>
    <row r="391" spans="18:18" ht="12.75">
      <c r="R391" s="59"/>
    </row>
    <row r="392" spans="18:18" ht="12.75">
      <c r="R392" s="59"/>
    </row>
    <row r="393" spans="18:18" ht="12.75">
      <c r="R393" s="59"/>
    </row>
    <row r="394" spans="18:18" ht="12.75">
      <c r="R394" s="59"/>
    </row>
    <row r="395" spans="18:18" ht="12.75">
      <c r="R395" s="59"/>
    </row>
    <row r="396" spans="18:18" ht="12.75">
      <c r="R396" s="59"/>
    </row>
    <row r="397" spans="18:18" ht="12.75">
      <c r="R397" s="59"/>
    </row>
    <row r="398" spans="18:18" ht="12.75">
      <c r="R398" s="59"/>
    </row>
    <row r="399" spans="18:18" ht="12.75">
      <c r="R399" s="59"/>
    </row>
    <row r="400" spans="18:18" ht="12.75">
      <c r="R400" s="59"/>
    </row>
    <row r="401" spans="18:18" ht="12.75">
      <c r="R401" s="59"/>
    </row>
    <row r="402" spans="18:18" ht="12.75">
      <c r="R402" s="59"/>
    </row>
    <row r="403" spans="18:18" ht="12.75">
      <c r="R403" s="59"/>
    </row>
    <row r="404" spans="18:18" ht="12.75">
      <c r="R404" s="59"/>
    </row>
    <row r="405" spans="18:18" ht="12.75">
      <c r="R405" s="59"/>
    </row>
    <row r="406" spans="18:18" ht="12.75">
      <c r="R406" s="59"/>
    </row>
    <row r="407" spans="18:18" ht="12.75">
      <c r="R407" s="59"/>
    </row>
    <row r="408" spans="18:18" ht="12.75">
      <c r="R408" s="59"/>
    </row>
    <row r="409" spans="18:18" ht="12.75">
      <c r="R409" s="59"/>
    </row>
    <row r="410" spans="18:18" ht="12.75">
      <c r="R410" s="59"/>
    </row>
    <row r="411" spans="18:18" ht="12.75">
      <c r="R411" s="59"/>
    </row>
    <row r="412" spans="18:18" ht="12.75">
      <c r="R412" s="59"/>
    </row>
    <row r="413" spans="18:18" ht="12.75">
      <c r="R413" s="59"/>
    </row>
    <row r="414" spans="18:18" ht="12.75">
      <c r="R414" s="59"/>
    </row>
    <row r="415" spans="18:18" ht="12.75">
      <c r="R415" s="59"/>
    </row>
    <row r="416" spans="18:18" ht="12.75">
      <c r="R416" s="59"/>
    </row>
    <row r="417" spans="18:18" ht="12.75">
      <c r="R417" s="59"/>
    </row>
    <row r="418" spans="18:18" ht="12.75">
      <c r="R418" s="59"/>
    </row>
    <row r="419" spans="18:18" ht="12.75">
      <c r="R419" s="59"/>
    </row>
    <row r="420" spans="18:18" ht="12.75">
      <c r="R420" s="59"/>
    </row>
    <row r="421" spans="18:18" ht="12.75">
      <c r="R421" s="59"/>
    </row>
    <row r="422" spans="18:18" ht="12.75">
      <c r="R422" s="59"/>
    </row>
    <row r="423" spans="18:18" ht="12.75">
      <c r="R423" s="59"/>
    </row>
    <row r="424" spans="18:18" ht="12.75">
      <c r="R424" s="59"/>
    </row>
    <row r="425" spans="18:18" ht="12.75">
      <c r="R425" s="59"/>
    </row>
    <row r="426" spans="18:18" ht="12.75">
      <c r="R426" s="59"/>
    </row>
    <row r="427" spans="18:18" ht="12.75">
      <c r="R427" s="59"/>
    </row>
    <row r="428" spans="18:18" ht="12.75">
      <c r="R428" s="59"/>
    </row>
    <row r="429" spans="18:18" ht="12.75">
      <c r="R429" s="59"/>
    </row>
    <row r="430" spans="18:18" ht="12.75">
      <c r="R430" s="59"/>
    </row>
    <row r="431" spans="18:18" ht="12.75">
      <c r="R431" s="59"/>
    </row>
    <row r="432" spans="18:18" ht="12.75">
      <c r="R432" s="59"/>
    </row>
    <row r="433" spans="18:18" ht="12.75">
      <c r="R433" s="59"/>
    </row>
    <row r="434" spans="18:18" ht="12.75">
      <c r="R434" s="59"/>
    </row>
    <row r="435" spans="18:18" ht="12.75">
      <c r="R435" s="59"/>
    </row>
    <row r="436" spans="18:18" ht="12.75">
      <c r="R436" s="59"/>
    </row>
    <row r="437" spans="18:18" ht="12.75">
      <c r="R437" s="59"/>
    </row>
    <row r="438" spans="18:18" ht="12.75">
      <c r="R438" s="59"/>
    </row>
    <row r="439" spans="18:18" ht="12.75">
      <c r="R439" s="59"/>
    </row>
    <row r="440" spans="18:18" ht="12.75">
      <c r="R440" s="59"/>
    </row>
    <row r="441" spans="18:18" ht="12.75">
      <c r="R441" s="59"/>
    </row>
    <row r="442" spans="18:18" ht="12.75">
      <c r="R442" s="59"/>
    </row>
    <row r="443" spans="18:18" ht="12.75">
      <c r="R443" s="59"/>
    </row>
    <row r="444" spans="18:18" ht="12.75">
      <c r="R444" s="59"/>
    </row>
    <row r="445" spans="18:18" ht="12.75">
      <c r="R445" s="59"/>
    </row>
    <row r="446" spans="18:18" ht="12.75">
      <c r="R446" s="59"/>
    </row>
    <row r="447" spans="18:18" ht="12.75">
      <c r="R447" s="59"/>
    </row>
    <row r="448" spans="18:18" ht="12.75">
      <c r="R448" s="59"/>
    </row>
    <row r="449" spans="18:18" ht="12.75">
      <c r="R449" s="59"/>
    </row>
    <row r="450" spans="18:18" ht="12.75">
      <c r="R450" s="59"/>
    </row>
    <row r="451" spans="18:18" ht="12.75">
      <c r="R451" s="59"/>
    </row>
    <row r="452" spans="18:18" ht="12.75">
      <c r="R452" s="59"/>
    </row>
    <row r="453" spans="18:18" ht="12.75">
      <c r="R453" s="59"/>
    </row>
    <row r="454" spans="18:18" ht="12.75">
      <c r="R454" s="59"/>
    </row>
    <row r="455" spans="18:18" ht="12.75">
      <c r="R455" s="59"/>
    </row>
    <row r="456" spans="18:18" ht="12.75">
      <c r="R456" s="59"/>
    </row>
    <row r="457" spans="18:18" ht="12.75">
      <c r="R457" s="59"/>
    </row>
    <row r="458" spans="18:18" ht="12.75">
      <c r="R458" s="59"/>
    </row>
    <row r="459" spans="18:18" ht="12.75">
      <c r="R459" s="59"/>
    </row>
    <row r="460" spans="18:18" ht="12.75">
      <c r="R460" s="59"/>
    </row>
    <row r="461" spans="18:18" ht="12.75">
      <c r="R461" s="59"/>
    </row>
    <row r="462" spans="18:18" ht="12.75">
      <c r="R462" s="59"/>
    </row>
    <row r="463" spans="18:18" ht="12.75">
      <c r="R463" s="59"/>
    </row>
    <row r="464" spans="18:18" ht="12.75">
      <c r="R464" s="59"/>
    </row>
    <row r="465" spans="18:18" ht="12.75">
      <c r="R465" s="59"/>
    </row>
    <row r="466" spans="18:18" ht="12.75">
      <c r="R466" s="59"/>
    </row>
    <row r="467" spans="18:18" ht="12.75">
      <c r="R467" s="59"/>
    </row>
    <row r="468" spans="18:18" ht="12.75">
      <c r="R468" s="59"/>
    </row>
    <row r="469" spans="18:18" ht="12.75">
      <c r="R469" s="59"/>
    </row>
    <row r="470" spans="18:18" ht="12.75">
      <c r="R470" s="59"/>
    </row>
    <row r="471" spans="18:18" ht="12.75">
      <c r="R471" s="59"/>
    </row>
    <row r="472" spans="18:18" ht="12.75">
      <c r="R472" s="59"/>
    </row>
    <row r="473" spans="18:18" ht="12.75">
      <c r="R473" s="59"/>
    </row>
    <row r="474" spans="18:18" ht="12.75">
      <c r="R474" s="59"/>
    </row>
    <row r="475" spans="18:18" ht="12.75">
      <c r="R475" s="59"/>
    </row>
    <row r="476" spans="18:18" ht="12.75">
      <c r="R476" s="59"/>
    </row>
    <row r="477" spans="18:18" ht="12.75">
      <c r="R477" s="59"/>
    </row>
    <row r="478" spans="18:18" ht="12.75">
      <c r="R478" s="59"/>
    </row>
    <row r="479" spans="18:18" ht="12.75">
      <c r="R479" s="59"/>
    </row>
    <row r="480" spans="18:18" ht="12.75">
      <c r="R480" s="59"/>
    </row>
    <row r="481" spans="18:18" ht="12.75">
      <c r="R481" s="59"/>
    </row>
    <row r="482" spans="18:18" ht="12.75">
      <c r="R482" s="59"/>
    </row>
    <row r="483" spans="18:18" ht="12.75">
      <c r="R483" s="59"/>
    </row>
    <row r="484" spans="18:18" ht="12.75">
      <c r="R484" s="59"/>
    </row>
    <row r="485" spans="18:18" ht="12.75">
      <c r="R485" s="59"/>
    </row>
    <row r="486" spans="18:18" ht="12.75">
      <c r="R486" s="59"/>
    </row>
    <row r="487" spans="18:18" ht="12.75">
      <c r="R487" s="59"/>
    </row>
    <row r="488" spans="18:18" ht="12.75">
      <c r="R488" s="59"/>
    </row>
    <row r="489" spans="18:18" ht="12.75">
      <c r="R489" s="59"/>
    </row>
    <row r="490" spans="18:18" ht="12.75">
      <c r="R490" s="59"/>
    </row>
    <row r="491" spans="18:18" ht="12.75">
      <c r="R491" s="59"/>
    </row>
    <row r="492" spans="18:18" ht="12.75">
      <c r="R492" s="59"/>
    </row>
    <row r="493" spans="18:18" ht="12.75">
      <c r="R493" s="59"/>
    </row>
    <row r="494" spans="18:18" ht="12.75">
      <c r="R494" s="59"/>
    </row>
    <row r="495" spans="18:18" ht="12.75">
      <c r="R495" s="59"/>
    </row>
    <row r="496" spans="18:18" ht="12.75">
      <c r="R496" s="59"/>
    </row>
    <row r="497" spans="18:18" ht="12.75">
      <c r="R497" s="59"/>
    </row>
    <row r="498" spans="18:18" ht="12.75">
      <c r="R498" s="59"/>
    </row>
    <row r="499" spans="18:18" ht="12.75">
      <c r="R499" s="59"/>
    </row>
    <row r="500" spans="18:18" ht="12.75">
      <c r="R500" s="59"/>
    </row>
    <row r="501" spans="18:18" ht="12.75">
      <c r="R501" s="59"/>
    </row>
    <row r="502" spans="18:18" ht="12.75">
      <c r="R502" s="59"/>
    </row>
    <row r="503" spans="18:18" ht="12.75">
      <c r="R503" s="59"/>
    </row>
    <row r="504" spans="18:18" ht="12.75">
      <c r="R504" s="59"/>
    </row>
    <row r="505" spans="18:18" ht="12.75">
      <c r="R505" s="59"/>
    </row>
    <row r="506" spans="18:18" ht="12.75">
      <c r="R506" s="59"/>
    </row>
    <row r="507" spans="18:18" ht="12.75">
      <c r="R507" s="59"/>
    </row>
    <row r="508" spans="18:18" ht="12.75">
      <c r="R508" s="59"/>
    </row>
    <row r="509" spans="18:18" ht="12.75">
      <c r="R509" s="59"/>
    </row>
    <row r="510" spans="18:18" ht="12.75">
      <c r="R510" s="59"/>
    </row>
    <row r="511" spans="18:18" ht="12.75">
      <c r="R511" s="59"/>
    </row>
    <row r="512" spans="18:18" ht="12.75">
      <c r="R512" s="59"/>
    </row>
    <row r="513" spans="18:18" ht="12.75">
      <c r="R513" s="59"/>
    </row>
    <row r="514" spans="18:18" ht="12.75">
      <c r="R514" s="59"/>
    </row>
    <row r="515" spans="18:18" ht="12.75">
      <c r="R515" s="59"/>
    </row>
    <row r="516" spans="18:18" ht="12.75">
      <c r="R516" s="59"/>
    </row>
    <row r="517" spans="18:18" ht="12.75">
      <c r="R517" s="59"/>
    </row>
    <row r="518" spans="18:18" ht="12.75">
      <c r="R518" s="59"/>
    </row>
    <row r="519" spans="18:18" ht="12.75">
      <c r="R519" s="59"/>
    </row>
    <row r="520" spans="18:18" ht="12.75">
      <c r="R520" s="59"/>
    </row>
    <row r="521" spans="18:18" ht="12.75">
      <c r="R521" s="59"/>
    </row>
    <row r="522" spans="18:18" ht="12.75">
      <c r="R522" s="59"/>
    </row>
    <row r="523" spans="18:18" ht="12.75">
      <c r="R523" s="59"/>
    </row>
    <row r="524" spans="18:18" ht="12.75">
      <c r="R524" s="59"/>
    </row>
    <row r="525" spans="18:18" ht="12.75">
      <c r="R525" s="59"/>
    </row>
    <row r="526" spans="18:18" ht="12.75">
      <c r="R526" s="59"/>
    </row>
    <row r="527" spans="18:18" ht="12.75">
      <c r="R527" s="59"/>
    </row>
    <row r="528" spans="18:18" ht="12.75">
      <c r="R528" s="59"/>
    </row>
    <row r="529" spans="18:18" ht="12.75">
      <c r="R529" s="59"/>
    </row>
    <row r="530" spans="18:18" ht="12.75">
      <c r="R530" s="59"/>
    </row>
    <row r="531" spans="18:18" ht="12.75">
      <c r="R531" s="59"/>
    </row>
    <row r="532" spans="18:18" ht="12.75">
      <c r="R532" s="59"/>
    </row>
    <row r="533" spans="18:18" ht="12.75">
      <c r="R533" s="59"/>
    </row>
    <row r="534" spans="18:18" ht="12.75">
      <c r="R534" s="59"/>
    </row>
    <row r="535" spans="18:18" ht="12.75">
      <c r="R535" s="59"/>
    </row>
    <row r="536" spans="18:18" ht="12.75">
      <c r="R536" s="59"/>
    </row>
    <row r="537" spans="18:18" ht="12.75">
      <c r="R537" s="59"/>
    </row>
    <row r="538" spans="18:18" ht="12.75">
      <c r="R538" s="59"/>
    </row>
    <row r="539" spans="18:18" ht="12.75">
      <c r="R539" s="59"/>
    </row>
    <row r="540" spans="18:18" ht="12.75">
      <c r="R540" s="59"/>
    </row>
    <row r="541" spans="18:18" ht="12.75">
      <c r="R541" s="59"/>
    </row>
    <row r="542" spans="18:18" ht="12.75">
      <c r="R542" s="59"/>
    </row>
    <row r="543" spans="18:18" ht="12.75">
      <c r="R543" s="59"/>
    </row>
    <row r="544" spans="18:18" ht="12.75">
      <c r="R544" s="59"/>
    </row>
    <row r="545" spans="18:18" ht="12.75">
      <c r="R545" s="59"/>
    </row>
    <row r="546" spans="18:18" ht="12.75">
      <c r="R546" s="59"/>
    </row>
    <row r="547" spans="18:18" ht="12.75">
      <c r="R547" s="59"/>
    </row>
    <row r="548" spans="18:18" ht="12.75">
      <c r="R548" s="59"/>
    </row>
    <row r="549" spans="18:18" ht="12.75">
      <c r="R549" s="59"/>
    </row>
    <row r="550" spans="18:18" ht="12.75">
      <c r="R550" s="59"/>
    </row>
    <row r="551" spans="18:18" ht="12.75">
      <c r="R551" s="59"/>
    </row>
    <row r="552" spans="18:18" ht="12.75">
      <c r="R552" s="59"/>
    </row>
    <row r="553" spans="18:18" ht="12.75">
      <c r="R553" s="59"/>
    </row>
    <row r="554" spans="18:18" ht="12.75">
      <c r="R554" s="59"/>
    </row>
    <row r="555" spans="18:18" ht="12.75">
      <c r="R555" s="59"/>
    </row>
    <row r="556" spans="18:18" ht="12.75">
      <c r="R556" s="59"/>
    </row>
    <row r="557" spans="18:18" ht="12.75">
      <c r="R557" s="59"/>
    </row>
    <row r="558" spans="18:18" ht="12.75">
      <c r="R558" s="59"/>
    </row>
    <row r="559" spans="18:18" ht="12.75">
      <c r="R559" s="59"/>
    </row>
    <row r="560" spans="18:18" ht="12.75">
      <c r="R560" s="59"/>
    </row>
    <row r="561" spans="18:18" ht="12.75">
      <c r="R561" s="59"/>
    </row>
    <row r="562" spans="18:18" ht="12.75">
      <c r="R562" s="59"/>
    </row>
    <row r="563" spans="18:18" ht="12.75">
      <c r="R563" s="59"/>
    </row>
    <row r="564" spans="18:18" ht="12.75">
      <c r="R564" s="59"/>
    </row>
    <row r="565" spans="18:18" ht="12.75">
      <c r="R565" s="59"/>
    </row>
    <row r="566" spans="18:18" ht="12.75">
      <c r="R566" s="59"/>
    </row>
    <row r="567" spans="18:18" ht="12.75">
      <c r="R567" s="59"/>
    </row>
    <row r="568" spans="18:18" ht="12.75">
      <c r="R568" s="59"/>
    </row>
    <row r="569" spans="18:18" ht="12.75">
      <c r="R569" s="59"/>
    </row>
    <row r="570" spans="18:18" ht="12.75">
      <c r="R570" s="59"/>
    </row>
    <row r="571" spans="18:18" ht="12.75">
      <c r="R571" s="59"/>
    </row>
    <row r="572" spans="18:18" ht="12.75">
      <c r="R572" s="59"/>
    </row>
    <row r="573" spans="18:18" ht="12.75">
      <c r="R573" s="59"/>
    </row>
    <row r="574" spans="18:18" ht="12.75">
      <c r="R574" s="59"/>
    </row>
    <row r="575" spans="18:18" ht="12.75">
      <c r="R575" s="59"/>
    </row>
    <row r="576" spans="18:18" ht="12.75">
      <c r="R576" s="59"/>
    </row>
    <row r="577" spans="18:18" ht="12.75">
      <c r="R577" s="59"/>
    </row>
    <row r="578" spans="18:18" ht="12.75">
      <c r="R578" s="59"/>
    </row>
    <row r="579" spans="18:18" ht="12.75">
      <c r="R579" s="59"/>
    </row>
    <row r="580" spans="18:18" ht="12.75">
      <c r="R580" s="59"/>
    </row>
    <row r="581" spans="18:18" ht="12.75">
      <c r="R581" s="59"/>
    </row>
    <row r="582" spans="18:18" ht="12.75">
      <c r="R582" s="59"/>
    </row>
    <row r="583" spans="18:18" ht="12.75">
      <c r="R583" s="59"/>
    </row>
    <row r="584" spans="18:18" ht="12.75">
      <c r="R584" s="59"/>
    </row>
    <row r="585" spans="18:18" ht="12.75">
      <c r="R585" s="59"/>
    </row>
    <row r="586" spans="18:18" ht="12.75">
      <c r="R586" s="59"/>
    </row>
    <row r="587" spans="18:18" ht="12.75">
      <c r="R587" s="59"/>
    </row>
    <row r="588" spans="18:18" ht="12.75">
      <c r="R588" s="59"/>
    </row>
    <row r="589" spans="18:18" ht="12.75">
      <c r="R589" s="59"/>
    </row>
    <row r="590" spans="18:18" ht="12.75">
      <c r="R590" s="59"/>
    </row>
    <row r="591" spans="18:18" ht="12.75">
      <c r="R591" s="59"/>
    </row>
    <row r="592" spans="18:18" ht="12.75">
      <c r="R592" s="59"/>
    </row>
    <row r="593" spans="18:18" ht="12.75">
      <c r="R593" s="59"/>
    </row>
    <row r="594" spans="18:18" ht="12.75">
      <c r="R594" s="59"/>
    </row>
    <row r="595" spans="18:18" ht="12.75">
      <c r="R595" s="59"/>
    </row>
    <row r="596" spans="18:18" ht="12.75">
      <c r="R596" s="59"/>
    </row>
    <row r="597" spans="18:18" ht="12.75">
      <c r="R597" s="59"/>
    </row>
    <row r="598" spans="18:18" ht="12.75">
      <c r="R598" s="59"/>
    </row>
    <row r="599" spans="18:18" ht="12.75">
      <c r="R599" s="59"/>
    </row>
    <row r="600" spans="18:18" ht="12.75">
      <c r="R600" s="59"/>
    </row>
    <row r="601" spans="18:18" ht="12.75">
      <c r="R601" s="59"/>
    </row>
    <row r="602" spans="18:18" ht="12.75">
      <c r="R602" s="59"/>
    </row>
    <row r="603" spans="18:18" ht="12.75">
      <c r="R603" s="59"/>
    </row>
    <row r="604" spans="18:18" ht="12.75">
      <c r="R604" s="59"/>
    </row>
    <row r="605" spans="18:18" ht="12.75">
      <c r="R605" s="59"/>
    </row>
    <row r="606" spans="18:18" ht="12.75">
      <c r="R606" s="59"/>
    </row>
    <row r="607" spans="18:18" ht="12.75">
      <c r="R607" s="59"/>
    </row>
    <row r="608" spans="18:18" ht="12.75">
      <c r="R608" s="59"/>
    </row>
    <row r="609" spans="18:18" ht="12.75">
      <c r="R609" s="59"/>
    </row>
    <row r="610" spans="18:18" ht="12.75">
      <c r="R610" s="59"/>
    </row>
    <row r="611" spans="18:18" ht="12.75">
      <c r="R611" s="59"/>
    </row>
    <row r="612" spans="18:18" ht="12.75">
      <c r="R612" s="59"/>
    </row>
    <row r="613" spans="18:18" ht="12.75">
      <c r="R613" s="59"/>
    </row>
    <row r="614" spans="18:18" ht="12.75">
      <c r="R614" s="59"/>
    </row>
    <row r="615" spans="18:18" ht="12.75">
      <c r="R615" s="59"/>
    </row>
    <row r="616" spans="18:18" ht="12.75">
      <c r="R616" s="59"/>
    </row>
    <row r="617" spans="18:18" ht="12.75">
      <c r="R617" s="59"/>
    </row>
    <row r="618" spans="18:18" ht="12.75">
      <c r="R618" s="59"/>
    </row>
    <row r="619" spans="18:18" ht="12.75">
      <c r="R619" s="59"/>
    </row>
    <row r="620" spans="18:18" ht="12.75">
      <c r="R620" s="59"/>
    </row>
    <row r="621" spans="18:18" ht="12.75">
      <c r="R621" s="59"/>
    </row>
    <row r="622" spans="18:18" ht="12.75">
      <c r="R622" s="59"/>
    </row>
    <row r="623" spans="18:18" ht="12.75">
      <c r="R623" s="59"/>
    </row>
    <row r="624" spans="18:18" ht="12.75">
      <c r="R624" s="59"/>
    </row>
    <row r="625" spans="18:18" ht="12.75">
      <c r="R625" s="59"/>
    </row>
    <row r="626" spans="18:18" ht="12.75">
      <c r="R626" s="59"/>
    </row>
    <row r="627" spans="18:18" ht="12.75">
      <c r="R627" s="59"/>
    </row>
    <row r="628" spans="18:18" ht="12.75">
      <c r="R628" s="59"/>
    </row>
    <row r="629" spans="18:18" ht="12.75">
      <c r="R629" s="59"/>
    </row>
    <row r="630" spans="18:18" ht="12.75">
      <c r="R630" s="59"/>
    </row>
    <row r="631" spans="18:18" ht="12.75">
      <c r="R631" s="59"/>
    </row>
    <row r="632" spans="18:18" ht="12.75">
      <c r="R632" s="59"/>
    </row>
    <row r="633" spans="18:18" ht="12.75">
      <c r="R633" s="59"/>
    </row>
    <row r="634" spans="18:18" ht="12.75">
      <c r="R634" s="59"/>
    </row>
    <row r="635" spans="18:18" ht="12.75">
      <c r="R635" s="59"/>
    </row>
    <row r="636" spans="18:18" ht="12.75">
      <c r="R636" s="59"/>
    </row>
    <row r="637" spans="18:18" ht="12.75">
      <c r="R637" s="59"/>
    </row>
    <row r="638" spans="18:18" ht="12.75">
      <c r="R638" s="59"/>
    </row>
    <row r="639" spans="18:18" ht="12.75">
      <c r="R639" s="59"/>
    </row>
    <row r="640" spans="18:18" ht="12.75">
      <c r="R640" s="59"/>
    </row>
    <row r="641" spans="18:18" ht="12.75">
      <c r="R641" s="59"/>
    </row>
    <row r="642" spans="18:18" ht="12.75">
      <c r="R642" s="59"/>
    </row>
    <row r="643" spans="18:18" ht="12.75">
      <c r="R643" s="59"/>
    </row>
    <row r="644" spans="18:18" ht="12.75">
      <c r="R644" s="59"/>
    </row>
    <row r="645" spans="18:18" ht="12.75">
      <c r="R645" s="59"/>
    </row>
    <row r="646" spans="18:18" ht="12.75">
      <c r="R646" s="59"/>
    </row>
    <row r="647" spans="18:18" ht="12.75">
      <c r="R647" s="59"/>
    </row>
    <row r="648" spans="18:18" ht="12.75">
      <c r="R648" s="59"/>
    </row>
    <row r="649" spans="18:18" ht="12.75">
      <c r="R649" s="59"/>
    </row>
    <row r="650" spans="18:18" ht="12.75">
      <c r="R650" s="59"/>
    </row>
    <row r="651" spans="18:18" ht="12.75">
      <c r="R651" s="59"/>
    </row>
    <row r="652" spans="18:18" ht="12.75">
      <c r="R652" s="59"/>
    </row>
    <row r="653" spans="18:18" ht="12.75">
      <c r="R653" s="59"/>
    </row>
    <row r="654" spans="18:18" ht="12.75">
      <c r="R654" s="59"/>
    </row>
    <row r="655" spans="18:18" ht="12.75">
      <c r="R655" s="59"/>
    </row>
    <row r="656" spans="18:18" ht="12.75">
      <c r="R656" s="59"/>
    </row>
    <row r="657" spans="18:18" ht="12.75">
      <c r="R657" s="59"/>
    </row>
    <row r="658" spans="18:18" ht="12.75">
      <c r="R658" s="59"/>
    </row>
    <row r="659" spans="18:18" ht="12.75">
      <c r="R659" s="59"/>
    </row>
    <row r="660" spans="18:18" ht="12.75">
      <c r="R660" s="59"/>
    </row>
    <row r="661" spans="18:18" ht="12.75">
      <c r="R661" s="59"/>
    </row>
    <row r="662" spans="18:18" ht="12.75">
      <c r="R662" s="59"/>
    </row>
    <row r="663" spans="18:18" ht="12.75">
      <c r="R663" s="59"/>
    </row>
    <row r="664" spans="18:18" ht="12.75">
      <c r="R664" s="59"/>
    </row>
    <row r="665" spans="18:18" ht="12.75">
      <c r="R665" s="59"/>
    </row>
    <row r="666" spans="18:18" ht="12.75">
      <c r="R666" s="59"/>
    </row>
    <row r="667" spans="18:18" ht="12.75">
      <c r="R667" s="59"/>
    </row>
    <row r="668" spans="18:18" ht="12.75">
      <c r="R668" s="59"/>
    </row>
    <row r="669" spans="18:18" ht="12.75">
      <c r="R669" s="59"/>
    </row>
    <row r="670" spans="18:18" ht="12.75">
      <c r="R670" s="59"/>
    </row>
    <row r="671" spans="18:18" ht="12.75">
      <c r="R671" s="59"/>
    </row>
    <row r="672" spans="18:18" ht="12.75">
      <c r="R672" s="59"/>
    </row>
    <row r="673" spans="18:18" ht="12.75">
      <c r="R673" s="59"/>
    </row>
    <row r="674" spans="18:18" ht="12.75">
      <c r="R674" s="59"/>
    </row>
    <row r="675" spans="18:18" ht="12.75">
      <c r="R675" s="59"/>
    </row>
    <row r="676" spans="18:18" ht="12.75">
      <c r="R676" s="59"/>
    </row>
    <row r="677" spans="18:18" ht="12.75">
      <c r="R677" s="59"/>
    </row>
    <row r="678" spans="18:18" ht="12.75">
      <c r="R678" s="59"/>
    </row>
    <row r="679" spans="18:18" ht="12.75">
      <c r="R679" s="59"/>
    </row>
    <row r="680" spans="18:18" ht="12.75">
      <c r="R680" s="59"/>
    </row>
    <row r="681" spans="18:18" ht="12.75">
      <c r="R681" s="59"/>
    </row>
    <row r="682" spans="18:18" ht="12.75">
      <c r="R682" s="59"/>
    </row>
    <row r="683" spans="18:18" ht="12.75">
      <c r="R683" s="59"/>
    </row>
    <row r="684" spans="18:18" ht="12.75">
      <c r="R684" s="59"/>
    </row>
    <row r="685" spans="18:18" ht="12.75">
      <c r="R685" s="59"/>
    </row>
    <row r="686" spans="18:18" ht="12.75">
      <c r="R686" s="59"/>
    </row>
    <row r="687" spans="18:18" ht="12.75">
      <c r="R687" s="59"/>
    </row>
    <row r="688" spans="18:18" ht="12.75">
      <c r="R688" s="59"/>
    </row>
    <row r="689" spans="18:18" ht="12.75">
      <c r="R689" s="59"/>
    </row>
    <row r="690" spans="18:18" ht="12.75">
      <c r="R690" s="59"/>
    </row>
    <row r="691" spans="18:18" ht="12.75">
      <c r="R691" s="59"/>
    </row>
    <row r="692" spans="18:18" ht="12.75">
      <c r="R692" s="59"/>
    </row>
    <row r="693" spans="18:18" ht="12.75">
      <c r="R693" s="59"/>
    </row>
    <row r="694" spans="18:18" ht="12.75">
      <c r="R694" s="59"/>
    </row>
    <row r="695" spans="18:18" ht="12.75">
      <c r="R695" s="59"/>
    </row>
    <row r="696" spans="18:18" ht="12.75">
      <c r="R696" s="59"/>
    </row>
    <row r="697" spans="18:18" ht="12.75">
      <c r="R697" s="59"/>
    </row>
    <row r="698" spans="18:18" ht="12.75">
      <c r="R698" s="59"/>
    </row>
    <row r="699" spans="18:18" ht="12.75">
      <c r="R699" s="59"/>
    </row>
    <row r="700" spans="18:18" ht="12.75">
      <c r="R700" s="59"/>
    </row>
    <row r="701" spans="18:18" ht="12.75">
      <c r="R701" s="59"/>
    </row>
    <row r="702" spans="18:18" ht="12.75">
      <c r="R702" s="59"/>
    </row>
    <row r="703" spans="18:18" ht="12.75">
      <c r="R703" s="59"/>
    </row>
    <row r="704" spans="18:18" ht="12.75">
      <c r="R704" s="59"/>
    </row>
    <row r="705" spans="18:18" ht="12.75">
      <c r="R705" s="59"/>
    </row>
    <row r="706" spans="18:18" ht="12.75">
      <c r="R706" s="59"/>
    </row>
    <row r="707" spans="18:18" ht="12.75">
      <c r="R707" s="59"/>
    </row>
    <row r="708" spans="18:18" ht="12.75">
      <c r="R708" s="59"/>
    </row>
    <row r="709" spans="18:18" ht="12.75">
      <c r="R709" s="59"/>
    </row>
    <row r="710" spans="18:18" ht="12.75">
      <c r="R710" s="59"/>
    </row>
    <row r="711" spans="18:18" ht="12.75">
      <c r="R711" s="59"/>
    </row>
    <row r="712" spans="18:18" ht="12.75">
      <c r="R712" s="59"/>
    </row>
    <row r="713" spans="18:18" ht="12.75">
      <c r="R713" s="59"/>
    </row>
    <row r="714" spans="18:18" ht="12.75">
      <c r="R714" s="59"/>
    </row>
    <row r="715" spans="18:18" ht="12.75">
      <c r="R715" s="59"/>
    </row>
    <row r="716" spans="18:18" ht="12.75">
      <c r="R716" s="59"/>
    </row>
    <row r="717" spans="18:18" ht="12.75">
      <c r="R717" s="59"/>
    </row>
    <row r="718" spans="18:18" ht="12.75">
      <c r="R718" s="59"/>
    </row>
    <row r="719" spans="18:18" ht="12.75">
      <c r="R719" s="59"/>
    </row>
    <row r="720" spans="18:18" ht="12.75">
      <c r="R720" s="59"/>
    </row>
    <row r="721" spans="18:18" ht="12.75">
      <c r="R721" s="59"/>
    </row>
    <row r="722" spans="18:18" ht="12.75">
      <c r="R722" s="59"/>
    </row>
    <row r="723" spans="18:18" ht="12.75">
      <c r="R723" s="59"/>
    </row>
    <row r="724" spans="18:18" ht="12.75">
      <c r="R724" s="59"/>
    </row>
    <row r="725" spans="18:18" ht="12.75">
      <c r="R725" s="59"/>
    </row>
    <row r="726" spans="18:18" ht="12.75">
      <c r="R726" s="59"/>
    </row>
    <row r="727" spans="18:18" ht="12.75">
      <c r="R727" s="59"/>
    </row>
    <row r="728" spans="18:18" ht="12.75">
      <c r="R728" s="59"/>
    </row>
    <row r="729" spans="18:18" ht="12.75">
      <c r="R729" s="59"/>
    </row>
    <row r="730" spans="18:18" ht="12.75">
      <c r="R730" s="59"/>
    </row>
    <row r="731" spans="18:18" ht="12.75">
      <c r="R731" s="59"/>
    </row>
    <row r="732" spans="18:18" ht="12.75">
      <c r="R732" s="59"/>
    </row>
    <row r="733" spans="18:18" ht="12.75">
      <c r="R733" s="59"/>
    </row>
    <row r="734" spans="18:18" ht="12.75">
      <c r="R734" s="59"/>
    </row>
    <row r="735" spans="18:18" ht="12.75">
      <c r="R735" s="59"/>
    </row>
    <row r="736" spans="18:18" ht="12.75">
      <c r="R736" s="59"/>
    </row>
    <row r="737" spans="18:18" ht="12.75">
      <c r="R737" s="59"/>
    </row>
    <row r="738" spans="18:18" ht="12.75">
      <c r="R738" s="59"/>
    </row>
    <row r="739" spans="18:18" ht="12.75">
      <c r="R739" s="59"/>
    </row>
    <row r="740" spans="18:18" ht="12.75">
      <c r="R740" s="59"/>
    </row>
    <row r="741" spans="18:18" ht="12.75">
      <c r="R741" s="59"/>
    </row>
    <row r="742" spans="18:18" ht="12.75">
      <c r="R742" s="59"/>
    </row>
    <row r="743" spans="18:18" ht="12.75">
      <c r="R743" s="59"/>
    </row>
    <row r="744" spans="18:18" ht="12.75">
      <c r="R744" s="59"/>
    </row>
    <row r="745" spans="18:18" ht="12.75">
      <c r="R745" s="59"/>
    </row>
    <row r="746" spans="18:18" ht="12.75">
      <c r="R746" s="59"/>
    </row>
    <row r="747" spans="18:18" ht="12.75">
      <c r="R747" s="59"/>
    </row>
    <row r="748" spans="18:18" ht="12.75">
      <c r="R748" s="59"/>
    </row>
    <row r="749" spans="18:18" ht="12.75">
      <c r="R749" s="59"/>
    </row>
    <row r="750" spans="18:18" ht="12.75">
      <c r="R750" s="59"/>
    </row>
    <row r="751" spans="18:18" ht="12.75">
      <c r="R751" s="59"/>
    </row>
    <row r="752" spans="18:18" ht="12.75">
      <c r="R752" s="59"/>
    </row>
    <row r="753" spans="18:18" ht="12.75">
      <c r="R753" s="59"/>
    </row>
    <row r="754" spans="18:18" ht="12.75">
      <c r="R754" s="59"/>
    </row>
    <row r="755" spans="18:18" ht="12.75">
      <c r="R755" s="59"/>
    </row>
    <row r="756" spans="18:18" ht="12.75">
      <c r="R756" s="59"/>
    </row>
    <row r="757" spans="18:18" ht="12.75">
      <c r="R757" s="59"/>
    </row>
    <row r="758" spans="18:18" ht="12.75">
      <c r="R758" s="59"/>
    </row>
    <row r="759" spans="18:18" ht="12.75">
      <c r="R759" s="59"/>
    </row>
    <row r="760" spans="18:18" ht="12.75">
      <c r="R760" s="59"/>
    </row>
    <row r="761" spans="18:18" ht="12.75">
      <c r="R761" s="59"/>
    </row>
    <row r="762" spans="18:18" ht="12.75">
      <c r="R762" s="59"/>
    </row>
    <row r="763" spans="18:18" ht="12.75">
      <c r="R763" s="59"/>
    </row>
    <row r="764" spans="18:18" ht="12.75">
      <c r="R764" s="59"/>
    </row>
    <row r="765" spans="18:18" ht="12.75">
      <c r="R765" s="59"/>
    </row>
    <row r="766" spans="18:18" ht="12.75">
      <c r="R766" s="59"/>
    </row>
    <row r="767" spans="18:18" ht="12.75">
      <c r="R767" s="59"/>
    </row>
    <row r="768" spans="18:18" ht="12.75">
      <c r="R768" s="59"/>
    </row>
    <row r="769" spans="18:18" ht="12.75">
      <c r="R769" s="59"/>
    </row>
    <row r="770" spans="18:18" ht="12.75">
      <c r="R770" s="59"/>
    </row>
    <row r="771" spans="18:18" ht="12.75">
      <c r="R771" s="59"/>
    </row>
    <row r="772" spans="18:18" ht="12.75">
      <c r="R772" s="59"/>
    </row>
    <row r="773" spans="18:18" ht="12.75">
      <c r="R773" s="59"/>
    </row>
    <row r="774" spans="18:18" ht="12.75">
      <c r="R774" s="59"/>
    </row>
    <row r="775" spans="18:18" ht="12.75">
      <c r="R775" s="59"/>
    </row>
    <row r="776" spans="18:18" ht="12.75">
      <c r="R776" s="59"/>
    </row>
    <row r="777" spans="18:18" ht="12.75">
      <c r="R777" s="59"/>
    </row>
    <row r="778" spans="18:18" ht="12.75">
      <c r="R778" s="59"/>
    </row>
    <row r="779" spans="18:18" ht="12.75">
      <c r="R779" s="59"/>
    </row>
    <row r="780" spans="18:18" ht="12.75">
      <c r="R780" s="59"/>
    </row>
    <row r="781" spans="18:18" ht="12.75">
      <c r="R781" s="59"/>
    </row>
    <row r="782" spans="18:18" ht="12.75">
      <c r="R782" s="59"/>
    </row>
    <row r="783" spans="18:18" ht="12.75">
      <c r="R783" s="59"/>
    </row>
    <row r="784" spans="18:18" ht="12.75">
      <c r="R784" s="59"/>
    </row>
    <row r="785" spans="18:18" ht="12.75">
      <c r="R785" s="59"/>
    </row>
    <row r="786" spans="18:18" ht="12.75">
      <c r="R786" s="59"/>
    </row>
    <row r="787" spans="18:18" ht="12.75">
      <c r="R787" s="59"/>
    </row>
    <row r="788" spans="18:18" ht="12.75">
      <c r="R788" s="59"/>
    </row>
    <row r="789" spans="18:18" ht="12.75">
      <c r="R789" s="59"/>
    </row>
    <row r="790" spans="18:18" ht="12.75">
      <c r="R790" s="59"/>
    </row>
    <row r="791" spans="18:18" ht="12.75">
      <c r="R791" s="59"/>
    </row>
    <row r="792" spans="18:18" ht="12.75">
      <c r="R792" s="59"/>
    </row>
    <row r="793" spans="18:18" ht="12.75">
      <c r="R793" s="59"/>
    </row>
    <row r="794" spans="18:18" ht="12.75">
      <c r="R794" s="59"/>
    </row>
    <row r="795" spans="18:18" ht="12.75">
      <c r="R795" s="59"/>
    </row>
    <row r="796" spans="18:18" ht="12.75">
      <c r="R796" s="59"/>
    </row>
    <row r="797" spans="18:18" ht="12.75">
      <c r="R797" s="59"/>
    </row>
    <row r="798" spans="18:18" ht="12.75">
      <c r="R798" s="59"/>
    </row>
    <row r="799" spans="18:18" ht="12.75">
      <c r="R799" s="59"/>
    </row>
    <row r="800" spans="18:18" ht="12.75">
      <c r="R800" s="59"/>
    </row>
    <row r="801" spans="18:18" ht="12.75">
      <c r="R801" s="59"/>
    </row>
    <row r="802" spans="18:18" ht="12.75">
      <c r="R802" s="59"/>
    </row>
    <row r="803" spans="18:18" ht="12.75">
      <c r="R803" s="59"/>
    </row>
    <row r="804" spans="18:18" ht="12.75">
      <c r="R804" s="59"/>
    </row>
    <row r="805" spans="18:18" ht="12.75">
      <c r="R805" s="59"/>
    </row>
    <row r="806" spans="18:18" ht="12.75">
      <c r="R806" s="59"/>
    </row>
    <row r="807" spans="18:18" ht="12.75">
      <c r="R807" s="59"/>
    </row>
    <row r="808" spans="18:18" ht="12.75">
      <c r="R808" s="59"/>
    </row>
    <row r="809" spans="18:18" ht="12.75">
      <c r="R809" s="59"/>
    </row>
    <row r="810" spans="18:18" ht="12.75">
      <c r="R810" s="59"/>
    </row>
    <row r="811" spans="18:18" ht="12.75">
      <c r="R811" s="59"/>
    </row>
    <row r="812" spans="18:18" ht="12.75">
      <c r="R812" s="59"/>
    </row>
    <row r="813" spans="18:18" ht="12.75">
      <c r="R813" s="59"/>
    </row>
    <row r="814" spans="18:18" ht="12.75">
      <c r="R814" s="59"/>
    </row>
    <row r="815" spans="18:18" ht="12.75">
      <c r="R815" s="59"/>
    </row>
    <row r="816" spans="18:18" ht="12.75">
      <c r="R816" s="59"/>
    </row>
    <row r="817" spans="18:18" ht="12.75">
      <c r="R817" s="59"/>
    </row>
    <row r="818" spans="18:18" ht="12.75">
      <c r="R818" s="59"/>
    </row>
    <row r="819" spans="18:18" ht="12.75">
      <c r="R819" s="59"/>
    </row>
    <row r="820" spans="18:18" ht="12.75">
      <c r="R820" s="59"/>
    </row>
    <row r="821" spans="18:18" ht="12.75">
      <c r="R821" s="59"/>
    </row>
    <row r="822" spans="18:18" ht="12.75">
      <c r="R822" s="59"/>
    </row>
    <row r="823" spans="18:18" ht="12.75">
      <c r="R823" s="59"/>
    </row>
    <row r="824" spans="18:18" ht="12.75">
      <c r="R824" s="59"/>
    </row>
    <row r="825" spans="18:18" ht="12.75">
      <c r="R825" s="59"/>
    </row>
    <row r="826" spans="18:18" ht="12.75">
      <c r="R826" s="59"/>
    </row>
    <row r="827" spans="18:18" ht="12.75">
      <c r="R827" s="59"/>
    </row>
    <row r="828" spans="18:18" ht="12.75">
      <c r="R828" s="59"/>
    </row>
    <row r="829" spans="18:18" ht="12.75">
      <c r="R829" s="59"/>
    </row>
    <row r="830" spans="18:18" ht="12.75">
      <c r="R830" s="59"/>
    </row>
    <row r="831" spans="18:18" ht="12.75">
      <c r="R831" s="59"/>
    </row>
    <row r="832" spans="18:18" ht="12.75">
      <c r="R832" s="59"/>
    </row>
    <row r="833" spans="18:18" ht="12.75">
      <c r="R833" s="59"/>
    </row>
    <row r="834" spans="18:18" ht="12.75">
      <c r="R834" s="59"/>
    </row>
    <row r="835" spans="18:18" ht="12.75">
      <c r="R835" s="59"/>
    </row>
    <row r="836" spans="18:18" ht="12.75">
      <c r="R836" s="59"/>
    </row>
    <row r="837" spans="18:18" ht="12.75">
      <c r="R837" s="59"/>
    </row>
    <row r="838" spans="18:18" ht="12.75">
      <c r="R838" s="59"/>
    </row>
    <row r="839" spans="18:18" ht="12.75">
      <c r="R839" s="59"/>
    </row>
    <row r="840" spans="18:18" ht="12.75">
      <c r="R840" s="59"/>
    </row>
    <row r="841" spans="18:18" ht="12.75">
      <c r="R841" s="59"/>
    </row>
    <row r="842" spans="18:18" ht="12.75">
      <c r="R842" s="59"/>
    </row>
    <row r="843" spans="18:18" ht="12.75">
      <c r="R843" s="59"/>
    </row>
    <row r="844" spans="18:18" ht="12.75">
      <c r="R844" s="59"/>
    </row>
    <row r="845" spans="18:18" ht="12.75">
      <c r="R845" s="59"/>
    </row>
    <row r="846" spans="18:18" ht="12.75">
      <c r="R846" s="59"/>
    </row>
    <row r="847" spans="18:18" ht="12.75">
      <c r="R847" s="59"/>
    </row>
    <row r="848" spans="18:18" ht="12.75">
      <c r="R848" s="59"/>
    </row>
    <row r="849" spans="18:18" ht="12.75">
      <c r="R849" s="59"/>
    </row>
    <row r="850" spans="18:18" ht="12.75">
      <c r="R850" s="59"/>
    </row>
    <row r="851" spans="18:18" ht="12.75">
      <c r="R851" s="59"/>
    </row>
    <row r="852" spans="18:18" ht="12.75">
      <c r="R852" s="59"/>
    </row>
    <row r="853" spans="18:18" ht="12.75">
      <c r="R853" s="59"/>
    </row>
    <row r="854" spans="18:18" ht="12.75">
      <c r="R854" s="59"/>
    </row>
    <row r="855" spans="18:18" ht="12.75">
      <c r="R855" s="59"/>
    </row>
    <row r="856" spans="18:18" ht="12.75">
      <c r="R856" s="59"/>
    </row>
    <row r="857" spans="18:18" ht="12.75">
      <c r="R857" s="59"/>
    </row>
    <row r="858" spans="18:18" ht="12.75">
      <c r="R858" s="59"/>
    </row>
    <row r="859" spans="18:18" ht="12.75">
      <c r="R859" s="59"/>
    </row>
    <row r="860" spans="18:18" ht="12.75">
      <c r="R860" s="59"/>
    </row>
    <row r="861" spans="18:18" ht="12.75">
      <c r="R861" s="59"/>
    </row>
    <row r="862" spans="18:18" ht="12.75">
      <c r="R862" s="59"/>
    </row>
    <row r="863" spans="18:18" ht="12.75">
      <c r="R863" s="59"/>
    </row>
    <row r="864" spans="18:18" ht="12.75">
      <c r="R864" s="59"/>
    </row>
    <row r="865" spans="18:18" ht="12.75">
      <c r="R865" s="59"/>
    </row>
    <row r="866" spans="18:18" ht="12.75">
      <c r="R866" s="59"/>
    </row>
    <row r="867" spans="18:18" ht="12.75">
      <c r="R867" s="59"/>
    </row>
    <row r="868" spans="18:18" ht="12.75">
      <c r="R868" s="59"/>
    </row>
    <row r="869" spans="18:18" ht="12.75">
      <c r="R869" s="59"/>
    </row>
    <row r="870" spans="18:18" ht="12.75">
      <c r="R870" s="59"/>
    </row>
    <row r="871" spans="18:18" ht="12.75">
      <c r="R871" s="59"/>
    </row>
    <row r="872" spans="18:18" ht="12.75">
      <c r="R872" s="59"/>
    </row>
    <row r="873" spans="18:18" ht="12.75">
      <c r="R873" s="59"/>
    </row>
    <row r="874" spans="18:18" ht="12.75">
      <c r="R874" s="59"/>
    </row>
    <row r="875" spans="18:18" ht="12.75">
      <c r="R875" s="59"/>
    </row>
    <row r="876" spans="18:18" ht="12.75">
      <c r="R876" s="59"/>
    </row>
    <row r="877" spans="18:18" ht="12.75">
      <c r="R877" s="59"/>
    </row>
    <row r="878" spans="18:18" ht="12.75">
      <c r="R878" s="59"/>
    </row>
    <row r="879" spans="18:18" ht="12.75">
      <c r="R879" s="59"/>
    </row>
    <row r="880" spans="18:18" ht="12.75">
      <c r="R880" s="59"/>
    </row>
    <row r="881" spans="18:18" ht="12.75">
      <c r="R881" s="59"/>
    </row>
    <row r="882" spans="18:18" ht="12.75">
      <c r="R882" s="59"/>
    </row>
    <row r="883" spans="18:18" ht="12.75">
      <c r="R883" s="59"/>
    </row>
    <row r="884" spans="18:18" ht="12.75">
      <c r="R884" s="59"/>
    </row>
    <row r="885" spans="18:18" ht="12.75">
      <c r="R885" s="59"/>
    </row>
    <row r="886" spans="18:18" ht="12.75">
      <c r="R886" s="59"/>
    </row>
    <row r="887" spans="18:18" ht="12.75">
      <c r="R887" s="59"/>
    </row>
    <row r="888" spans="18:18" ht="12.75">
      <c r="R888" s="59"/>
    </row>
    <row r="889" spans="18:18" ht="12.75">
      <c r="R889" s="59"/>
    </row>
    <row r="890" spans="18:18" ht="12.75">
      <c r="R890" s="59"/>
    </row>
    <row r="891" spans="18:18" ht="12.75">
      <c r="R891" s="59"/>
    </row>
    <row r="892" spans="18:18" ht="12.75">
      <c r="R892" s="59"/>
    </row>
    <row r="893" spans="18:18" ht="12.75">
      <c r="R893" s="59"/>
    </row>
    <row r="894" spans="18:18" ht="12.75">
      <c r="R894" s="59"/>
    </row>
    <row r="895" spans="18:18" ht="12.75">
      <c r="R895" s="59"/>
    </row>
    <row r="896" spans="18:18" ht="12.75">
      <c r="R896" s="59"/>
    </row>
    <row r="897" spans="18:18" ht="12.75">
      <c r="R897" s="59"/>
    </row>
    <row r="898" spans="18:18" ht="12.75">
      <c r="R898" s="59"/>
    </row>
    <row r="899" spans="18:18" ht="12.75">
      <c r="R899" s="59"/>
    </row>
    <row r="900" spans="18:18" ht="12.75">
      <c r="R900" s="59"/>
    </row>
    <row r="901" spans="18:18" ht="12.75">
      <c r="R901" s="59"/>
    </row>
    <row r="902" spans="18:18" ht="12.75">
      <c r="R902" s="59"/>
    </row>
    <row r="903" spans="18:18" ht="12.75">
      <c r="R903" s="59"/>
    </row>
    <row r="904" spans="18:18" ht="12.75">
      <c r="R904" s="59"/>
    </row>
    <row r="905" spans="18:18" ht="12.75">
      <c r="R905" s="59"/>
    </row>
    <row r="906" spans="18:18" ht="12.75">
      <c r="R906" s="59"/>
    </row>
    <row r="907" spans="18:18" ht="12.75">
      <c r="R907" s="59"/>
    </row>
    <row r="908" spans="18:18" ht="12.75">
      <c r="R908" s="59"/>
    </row>
    <row r="909" spans="18:18" ht="12.75">
      <c r="R909" s="59"/>
    </row>
    <row r="910" spans="18:18" ht="12.75">
      <c r="R910" s="59"/>
    </row>
    <row r="911" spans="18:18" ht="12.75">
      <c r="R911" s="59"/>
    </row>
    <row r="912" spans="18:18" ht="12.75">
      <c r="R912" s="59"/>
    </row>
    <row r="913" spans="18:18" ht="12.75">
      <c r="R913" s="59"/>
    </row>
    <row r="914" spans="18:18" ht="12.75">
      <c r="R914" s="59"/>
    </row>
    <row r="915" spans="18:18" ht="12.75">
      <c r="R915" s="59"/>
    </row>
    <row r="916" spans="18:18" ht="12.75">
      <c r="R916" s="59"/>
    </row>
    <row r="917" spans="18:18" ht="12.75">
      <c r="R917" s="59"/>
    </row>
    <row r="918" spans="18:18" ht="12.75">
      <c r="R918" s="59"/>
    </row>
    <row r="919" spans="18:18" ht="12.75">
      <c r="R919" s="59"/>
    </row>
    <row r="920" spans="18:18" ht="12.75">
      <c r="R920" s="59"/>
    </row>
    <row r="921" spans="18:18" ht="12.75">
      <c r="R921" s="59"/>
    </row>
    <row r="922" spans="18:18" ht="12.75">
      <c r="R922" s="59"/>
    </row>
    <row r="923" spans="18:18" ht="12.75">
      <c r="R923" s="59"/>
    </row>
    <row r="924" spans="18:18" ht="12.75">
      <c r="R924" s="59"/>
    </row>
    <row r="925" spans="18:18" ht="12.75">
      <c r="R925" s="59"/>
    </row>
    <row r="926" spans="18:18" ht="12.75">
      <c r="R926" s="59"/>
    </row>
    <row r="927" spans="18:18" ht="12.75">
      <c r="R927" s="59"/>
    </row>
    <row r="928" spans="18:18" ht="12.75">
      <c r="R928" s="59"/>
    </row>
    <row r="929" spans="18:18" ht="12.75">
      <c r="R929" s="59"/>
    </row>
    <row r="930" spans="18:18" ht="12.75">
      <c r="R930" s="59"/>
    </row>
    <row r="931" spans="18:18" ht="12.75">
      <c r="R931" s="59"/>
    </row>
    <row r="932" spans="18:18" ht="12.75">
      <c r="R932" s="59"/>
    </row>
    <row r="933" spans="18:18" ht="12.75">
      <c r="R933" s="59"/>
    </row>
    <row r="934" spans="18:18" ht="12.75">
      <c r="R934" s="59"/>
    </row>
    <row r="935" spans="18:18" ht="12.75">
      <c r="R935" s="59"/>
    </row>
    <row r="936" spans="18:18" ht="12.75">
      <c r="R936" s="59"/>
    </row>
    <row r="937" spans="18:18" ht="12.75">
      <c r="R937" s="59"/>
    </row>
    <row r="938" spans="18:18" ht="12.75">
      <c r="R938" s="59"/>
    </row>
    <row r="939" spans="18:18" ht="12.75">
      <c r="R939" s="59"/>
    </row>
    <row r="940" spans="18:18" ht="12.75">
      <c r="R940" s="59"/>
    </row>
    <row r="941" spans="18:18" ht="12.75">
      <c r="R941" s="59"/>
    </row>
    <row r="942" spans="18:18" ht="12.75">
      <c r="R942" s="59"/>
    </row>
    <row r="943" spans="18:18" ht="12.75">
      <c r="R943" s="59"/>
    </row>
    <row r="944" spans="18:18" ht="12.75">
      <c r="R944" s="59"/>
    </row>
    <row r="945" spans="18:18" ht="12.75">
      <c r="R945" s="59"/>
    </row>
    <row r="946" spans="18:18" ht="12.75">
      <c r="R946" s="59"/>
    </row>
    <row r="947" spans="18:18" ht="12.75">
      <c r="R947" s="59"/>
    </row>
    <row r="948" spans="18:18" ht="12.75">
      <c r="R948" s="59"/>
    </row>
    <row r="949" spans="18:18" ht="12.75">
      <c r="R949" s="59"/>
    </row>
    <row r="950" spans="18:18" ht="12.75">
      <c r="R950" s="59"/>
    </row>
    <row r="951" spans="18:18" ht="12.75">
      <c r="R951" s="59"/>
    </row>
    <row r="952" spans="18:18" ht="12.75">
      <c r="R952" s="59"/>
    </row>
    <row r="953" spans="18:18" ht="12.75">
      <c r="R953" s="59"/>
    </row>
    <row r="954" spans="18:18" ht="12.75">
      <c r="R954" s="59"/>
    </row>
    <row r="955" spans="18:18" ht="12.75">
      <c r="R955" s="59"/>
    </row>
    <row r="956" spans="18:18" ht="12.75">
      <c r="R956" s="59"/>
    </row>
    <row r="957" spans="18:18" ht="12.75">
      <c r="R957" s="59"/>
    </row>
    <row r="958" spans="18:18" ht="12.75">
      <c r="R958" s="59"/>
    </row>
    <row r="959" spans="18:18" ht="12.75">
      <c r="R959" s="59"/>
    </row>
    <row r="960" spans="18:18" ht="12.75">
      <c r="R960" s="59"/>
    </row>
    <row r="961" spans="18:18" ht="12.75">
      <c r="R961" s="59"/>
    </row>
    <row r="962" spans="18:18" ht="12.75">
      <c r="R962" s="59"/>
    </row>
    <row r="963" spans="18:18" ht="12.75">
      <c r="R963" s="59"/>
    </row>
    <row r="964" spans="18:18" ht="12.75">
      <c r="R964" s="59"/>
    </row>
    <row r="965" spans="18:18" ht="12.75">
      <c r="R965" s="59"/>
    </row>
    <row r="966" spans="18:18" ht="12.75">
      <c r="R966" s="59"/>
    </row>
    <row r="967" spans="18:18" ht="12.75">
      <c r="R967" s="59"/>
    </row>
    <row r="968" spans="18:18" ht="12.75">
      <c r="R968" s="59"/>
    </row>
    <row r="969" spans="18:18" ht="12.75">
      <c r="R969" s="59"/>
    </row>
    <row r="970" spans="18:18" ht="12.75">
      <c r="R970" s="59"/>
    </row>
    <row r="971" spans="18:18" ht="12.75">
      <c r="R971" s="59"/>
    </row>
    <row r="972" spans="18:18" ht="12.75">
      <c r="R972" s="59"/>
    </row>
    <row r="973" spans="18:18" ht="12.75">
      <c r="R973" s="59"/>
    </row>
    <row r="974" spans="18:18" ht="12.75">
      <c r="R974" s="59"/>
    </row>
    <row r="975" spans="18:18" ht="12.75">
      <c r="R975" s="59"/>
    </row>
    <row r="976" spans="18:18" ht="12.75">
      <c r="R976" s="59"/>
    </row>
    <row r="977" spans="18:18" ht="12.75">
      <c r="R977" s="59"/>
    </row>
    <row r="978" spans="18:18" ht="12.75">
      <c r="R978" s="59"/>
    </row>
    <row r="979" spans="18:18" ht="12.75">
      <c r="R979" s="59"/>
    </row>
    <row r="980" spans="18:18" ht="12.75">
      <c r="R980" s="59"/>
    </row>
    <row r="981" spans="18:18" ht="12.75">
      <c r="R981" s="59"/>
    </row>
    <row r="982" spans="18:18" ht="12.75">
      <c r="R982" s="59"/>
    </row>
    <row r="983" spans="18:18" ht="12.75">
      <c r="R983" s="59"/>
    </row>
    <row r="984" spans="18:18" ht="12.75">
      <c r="R984" s="59"/>
    </row>
    <row r="985" spans="18:18" ht="12.75">
      <c r="R985" s="59"/>
    </row>
    <row r="986" spans="18:18" ht="12.75">
      <c r="R986" s="59"/>
    </row>
    <row r="987" spans="18:18" ht="12.75">
      <c r="R987" s="59"/>
    </row>
    <row r="988" spans="18:18" ht="12.75">
      <c r="R988" s="59"/>
    </row>
    <row r="989" spans="18:18" ht="12.75">
      <c r="R989" s="59"/>
    </row>
    <row r="990" spans="18:18" ht="12.75">
      <c r="R990" s="59"/>
    </row>
    <row r="991" spans="18:18" ht="12.75">
      <c r="R991" s="59"/>
    </row>
    <row r="992" spans="18:18" ht="12.75">
      <c r="R992" s="59"/>
    </row>
    <row r="993" spans="18:18" ht="12.75">
      <c r="R993" s="59"/>
    </row>
  </sheetData>
  <mergeCells count="10">
    <mergeCell ref="Q34:R34"/>
    <mergeCell ref="E1:H1"/>
    <mergeCell ref="I1:O1"/>
    <mergeCell ref="A15:D15"/>
    <mergeCell ref="C18:F18"/>
    <mergeCell ref="G18:J18"/>
    <mergeCell ref="K18:N18"/>
    <mergeCell ref="E19:F19"/>
    <mergeCell ref="I19:J19"/>
    <mergeCell ref="M19:N19"/>
  </mergeCells>
  <conditionalFormatting sqref="R3:R14 Q3:Q15 S3:S15 B21:B33 S21:V33 C33:R33">
    <cfRule type="cellIs" dxfId="5" priority="1" operator="lessThan">
      <formula>0</formula>
    </cfRule>
  </conditionalFormatting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AL990"/>
  <sheetViews>
    <sheetView workbookViewId="0"/>
  </sheetViews>
  <sheetFormatPr baseColWidth="10" defaultColWidth="12.5703125" defaultRowHeight="15.75" customHeight="1"/>
  <cols>
    <col min="1" max="1" width="19.140625" customWidth="1"/>
    <col min="2" max="2" width="7.42578125" customWidth="1"/>
    <col min="3" max="3" width="9.42578125" customWidth="1"/>
    <col min="4" max="4" width="12.85546875" customWidth="1"/>
    <col min="5" max="5" width="16.42578125" customWidth="1"/>
    <col min="6" max="6" width="13.85546875" customWidth="1"/>
    <col min="7" max="7" width="11.42578125" customWidth="1"/>
    <col min="8" max="8" width="15" customWidth="1"/>
    <col min="9" max="10" width="12.42578125" customWidth="1"/>
    <col min="11" max="11" width="11.42578125" customWidth="1"/>
    <col min="12" max="12" width="16.28515625" customWidth="1"/>
    <col min="13" max="13" width="9.7109375" customWidth="1"/>
    <col min="14" max="14" width="17.42578125" customWidth="1"/>
    <col min="15" max="15" width="12.28515625" customWidth="1"/>
    <col min="16" max="16" width="10.140625" customWidth="1"/>
    <col min="17" max="17" width="18.5703125" customWidth="1"/>
    <col min="18" max="18" width="8.5703125" customWidth="1"/>
    <col min="19" max="20" width="14.5703125" customWidth="1"/>
    <col min="21" max="21" width="12.28515625" customWidth="1"/>
    <col min="22" max="22" width="13.42578125" customWidth="1"/>
  </cols>
  <sheetData>
    <row r="1" spans="1:38" ht="15">
      <c r="A1" s="330"/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1"/>
      <c r="Q1" s="332"/>
    </row>
    <row r="2" spans="1:38" ht="15">
      <c r="A2" s="330"/>
      <c r="B2" s="330"/>
      <c r="C2" s="330"/>
      <c r="D2" s="330"/>
      <c r="E2" s="330"/>
      <c r="F2" s="330"/>
      <c r="G2" s="330"/>
      <c r="H2" s="330"/>
      <c r="I2" s="330"/>
      <c r="J2" s="333">
        <f t="shared" ref="J2:M2" si="0">SUM(J5:J7)+SUM(J12:J14)+SUM(J19:J21)+SUM(J26:J28)+SUM(J33:J35)+SUM(J40:J42)+SUM(J47:J49)+SUM(J54:J56)+SUM(J61:J63)+SUM(J68:J70)+SUM(J75:J78)+SUM(J83:J85)</f>
        <v>1163510</v>
      </c>
      <c r="K2" s="333">
        <f t="shared" si="0"/>
        <v>81070</v>
      </c>
      <c r="L2" s="333">
        <f t="shared" si="0"/>
        <v>302150</v>
      </c>
      <c r="M2" s="333">
        <f t="shared" si="0"/>
        <v>0</v>
      </c>
      <c r="N2" s="330"/>
      <c r="O2" s="330"/>
      <c r="P2" s="331"/>
      <c r="Q2" s="332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</row>
    <row r="3" spans="1:38" ht="15">
      <c r="A3" s="498" t="s">
        <v>406</v>
      </c>
      <c r="B3" s="499"/>
      <c r="C3" s="499"/>
      <c r="D3" s="499"/>
      <c r="E3" s="499"/>
      <c r="F3" s="499"/>
      <c r="G3" s="499"/>
      <c r="H3" s="499"/>
      <c r="I3" s="499"/>
      <c r="J3" s="499"/>
      <c r="K3" s="499"/>
      <c r="L3" s="499"/>
      <c r="M3" s="499"/>
      <c r="N3" s="499"/>
      <c r="O3" s="499"/>
      <c r="P3" s="331"/>
      <c r="Q3" s="334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</row>
    <row r="4" spans="1:38" ht="15.75" customHeight="1">
      <c r="A4" s="335" t="s">
        <v>407</v>
      </c>
      <c r="B4" s="335" t="s">
        <v>408</v>
      </c>
      <c r="C4" s="335" t="s">
        <v>409</v>
      </c>
      <c r="D4" s="336" t="s">
        <v>410</v>
      </c>
      <c r="E4" s="336" t="s">
        <v>411</v>
      </c>
      <c r="F4" s="336" t="s">
        <v>412</v>
      </c>
      <c r="G4" s="336"/>
      <c r="H4" s="336" t="s">
        <v>413</v>
      </c>
      <c r="I4" s="337" t="s">
        <v>163</v>
      </c>
      <c r="J4" s="338" t="s">
        <v>56</v>
      </c>
      <c r="K4" s="338" t="s">
        <v>160</v>
      </c>
      <c r="L4" s="339" t="s">
        <v>161</v>
      </c>
      <c r="M4" s="338" t="s">
        <v>162</v>
      </c>
      <c r="N4" s="338" t="s">
        <v>414</v>
      </c>
      <c r="O4" s="338" t="s">
        <v>70</v>
      </c>
      <c r="P4" s="331"/>
      <c r="Q4" s="334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</row>
    <row r="5" spans="1:38" ht="15.75" customHeight="1">
      <c r="A5" s="335" t="s">
        <v>415</v>
      </c>
      <c r="B5" s="335">
        <v>36</v>
      </c>
      <c r="C5" s="335"/>
      <c r="D5" s="336">
        <f t="shared" ref="D5:D7" si="1">(40000/30)/6</f>
        <v>222.2222222222222</v>
      </c>
      <c r="E5" s="336">
        <f t="shared" ref="E5:E7" si="2">B5*D5</f>
        <v>7999.9999999999991</v>
      </c>
      <c r="F5" s="336"/>
      <c r="G5" s="336"/>
      <c r="H5" s="336"/>
      <c r="I5" s="337">
        <f t="shared" ref="I5:I7" si="3">E5+F5-H5</f>
        <v>7999.9999999999991</v>
      </c>
      <c r="J5" s="337">
        <f t="shared" ref="J5:J7" si="4">9340</f>
        <v>9340</v>
      </c>
      <c r="K5" s="337"/>
      <c r="L5" s="340"/>
      <c r="M5" s="337"/>
      <c r="N5" s="337">
        <f t="shared" ref="N5:N7" si="5">SUM(J5:M5)</f>
        <v>9340</v>
      </c>
      <c r="O5" s="336">
        <f t="shared" ref="O5:O8" si="6">I5-N5</f>
        <v>-1340.0000000000009</v>
      </c>
      <c r="P5" s="331"/>
      <c r="Q5" s="334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</row>
    <row r="6" spans="1:38" ht="15.75" customHeight="1">
      <c r="A6" s="335" t="s">
        <v>416</v>
      </c>
      <c r="B6" s="335">
        <v>36</v>
      </c>
      <c r="C6" s="335"/>
      <c r="D6" s="336">
        <f t="shared" si="1"/>
        <v>222.2222222222222</v>
      </c>
      <c r="E6" s="336">
        <f t="shared" si="2"/>
        <v>7999.9999999999991</v>
      </c>
      <c r="F6" s="336"/>
      <c r="G6" s="336"/>
      <c r="H6" s="336"/>
      <c r="I6" s="337">
        <f t="shared" si="3"/>
        <v>7999.9999999999991</v>
      </c>
      <c r="J6" s="337">
        <f t="shared" si="4"/>
        <v>9340</v>
      </c>
      <c r="K6" s="337"/>
      <c r="L6" s="340"/>
      <c r="M6" s="337"/>
      <c r="N6" s="337">
        <f t="shared" si="5"/>
        <v>9340</v>
      </c>
      <c r="O6" s="336">
        <f t="shared" si="6"/>
        <v>-1340.0000000000009</v>
      </c>
      <c r="P6" s="331"/>
      <c r="Q6" s="334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</row>
    <row r="7" spans="1:38" ht="15.75" customHeight="1">
      <c r="A7" s="335" t="s">
        <v>417</v>
      </c>
      <c r="B7" s="335">
        <v>36</v>
      </c>
      <c r="C7" s="335"/>
      <c r="D7" s="336">
        <f t="shared" si="1"/>
        <v>222.2222222222222</v>
      </c>
      <c r="E7" s="336">
        <f t="shared" si="2"/>
        <v>7999.9999999999991</v>
      </c>
      <c r="F7" s="336"/>
      <c r="G7" s="336"/>
      <c r="H7" s="336"/>
      <c r="I7" s="337">
        <f t="shared" si="3"/>
        <v>7999.9999999999991</v>
      </c>
      <c r="J7" s="337">
        <f t="shared" si="4"/>
        <v>9340</v>
      </c>
      <c r="K7" s="337"/>
      <c r="L7" s="340"/>
      <c r="M7" s="337"/>
      <c r="N7" s="337">
        <f t="shared" si="5"/>
        <v>9340</v>
      </c>
      <c r="O7" s="336">
        <f t="shared" si="6"/>
        <v>-1340.0000000000009</v>
      </c>
      <c r="P7" s="331"/>
      <c r="Q7" s="334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</row>
    <row r="8" spans="1:38" ht="15.75" customHeight="1">
      <c r="A8" s="335"/>
      <c r="B8" s="335"/>
      <c r="C8" s="335"/>
      <c r="D8" s="336"/>
      <c r="E8" s="336"/>
      <c r="F8" s="336"/>
      <c r="G8" s="336"/>
      <c r="H8" s="336"/>
      <c r="I8" s="341">
        <f t="shared" ref="I8:N8" si="7">SUM(I5:I7)</f>
        <v>23999.999999999996</v>
      </c>
      <c r="J8" s="341">
        <f t="shared" si="7"/>
        <v>28020</v>
      </c>
      <c r="K8" s="341">
        <f t="shared" si="7"/>
        <v>0</v>
      </c>
      <c r="L8" s="342">
        <f t="shared" si="7"/>
        <v>0</v>
      </c>
      <c r="M8" s="341">
        <f t="shared" si="7"/>
        <v>0</v>
      </c>
      <c r="N8" s="341">
        <f t="shared" si="7"/>
        <v>28020</v>
      </c>
      <c r="O8" s="336">
        <f t="shared" si="6"/>
        <v>-4020.0000000000036</v>
      </c>
      <c r="P8" s="331"/>
      <c r="Q8" s="334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</row>
    <row r="9" spans="1:38" ht="15">
      <c r="A9" s="330"/>
      <c r="B9" s="330"/>
      <c r="C9" s="330"/>
      <c r="D9" s="330"/>
      <c r="E9" s="330"/>
      <c r="F9" s="330"/>
      <c r="G9" s="330"/>
      <c r="H9" s="330"/>
      <c r="I9" s="330"/>
      <c r="J9" s="330"/>
      <c r="K9" s="330"/>
      <c r="L9" s="330"/>
      <c r="M9" s="330"/>
      <c r="N9" s="330"/>
      <c r="O9" s="330"/>
      <c r="P9" s="331"/>
      <c r="Q9" s="334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</row>
    <row r="10" spans="1:38" ht="15">
      <c r="A10" s="498" t="s">
        <v>418</v>
      </c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331"/>
      <c r="Q10" s="334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</row>
    <row r="11" spans="1:38" ht="15.75" customHeight="1">
      <c r="A11" s="335" t="s">
        <v>407</v>
      </c>
      <c r="B11" s="335" t="s">
        <v>408</v>
      </c>
      <c r="C11" s="335" t="s">
        <v>409</v>
      </c>
      <c r="D11" s="336" t="s">
        <v>410</v>
      </c>
      <c r="E11" s="336" t="s">
        <v>411</v>
      </c>
      <c r="F11" s="336" t="s">
        <v>412</v>
      </c>
      <c r="G11" s="336"/>
      <c r="H11" s="336" t="s">
        <v>413</v>
      </c>
      <c r="I11" s="337" t="s">
        <v>163</v>
      </c>
      <c r="J11" s="338" t="s">
        <v>56</v>
      </c>
      <c r="K11" s="338" t="s">
        <v>160</v>
      </c>
      <c r="L11" s="339" t="s">
        <v>161</v>
      </c>
      <c r="M11" s="338" t="s">
        <v>162</v>
      </c>
      <c r="N11" s="338" t="s">
        <v>414</v>
      </c>
      <c r="O11" s="338" t="s">
        <v>70</v>
      </c>
      <c r="P11" s="331"/>
      <c r="Q11" s="332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</row>
    <row r="12" spans="1:38" ht="15.75" customHeight="1">
      <c r="A12" s="335" t="s">
        <v>415</v>
      </c>
      <c r="B12" s="335">
        <v>180</v>
      </c>
      <c r="C12" s="335"/>
      <c r="D12" s="336">
        <f t="shared" ref="D12:D14" si="8">(40000/30)/6</f>
        <v>222.2222222222222</v>
      </c>
      <c r="E12" s="336">
        <f t="shared" ref="E12:E14" si="9">B12*D12</f>
        <v>39999.999999999993</v>
      </c>
      <c r="F12" s="336"/>
      <c r="G12" s="336"/>
      <c r="H12" s="336"/>
      <c r="I12" s="337">
        <f t="shared" ref="I12:I14" si="10">E12+F12-H12</f>
        <v>39999.999999999993</v>
      </c>
      <c r="J12" s="337">
        <f>40000-1570</f>
        <v>38430</v>
      </c>
      <c r="K12" s="337"/>
      <c r="L12" s="340">
        <v>1570</v>
      </c>
      <c r="M12" s="337"/>
      <c r="N12" s="337">
        <f t="shared" ref="N12:N14" si="11">SUM(J12:M12)</f>
        <v>40000</v>
      </c>
      <c r="O12" s="336">
        <f t="shared" ref="O12:O15" si="12">I12-N12</f>
        <v>0</v>
      </c>
      <c r="P12" s="331">
        <v>44734</v>
      </c>
      <c r="Q12" s="332">
        <v>23383798920</v>
      </c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</row>
    <row r="13" spans="1:38" ht="15.75" customHeight="1">
      <c r="A13" s="335" t="s">
        <v>416</v>
      </c>
      <c r="B13" s="335">
        <v>180</v>
      </c>
      <c r="C13" s="335"/>
      <c r="D13" s="336">
        <f t="shared" si="8"/>
        <v>222.2222222222222</v>
      </c>
      <c r="E13" s="336">
        <f t="shared" si="9"/>
        <v>39999.999999999993</v>
      </c>
      <c r="F13" s="336"/>
      <c r="G13" s="336"/>
      <c r="H13" s="336"/>
      <c r="I13" s="337">
        <f t="shared" si="10"/>
        <v>39999.999999999993</v>
      </c>
      <c r="J13" s="337">
        <f>40000</f>
        <v>40000</v>
      </c>
      <c r="K13" s="337"/>
      <c r="L13" s="340"/>
      <c r="M13" s="337"/>
      <c r="N13" s="337">
        <f t="shared" si="11"/>
        <v>40000</v>
      </c>
      <c r="O13" s="336">
        <f t="shared" si="12"/>
        <v>0</v>
      </c>
      <c r="P13" s="331">
        <v>44734</v>
      </c>
      <c r="Q13" s="332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</row>
    <row r="14" spans="1:38" ht="15.75" customHeight="1">
      <c r="A14" s="335" t="s">
        <v>417</v>
      </c>
      <c r="B14" s="335">
        <v>180</v>
      </c>
      <c r="C14" s="335"/>
      <c r="D14" s="336">
        <f t="shared" si="8"/>
        <v>222.2222222222222</v>
      </c>
      <c r="E14" s="336">
        <f t="shared" si="9"/>
        <v>39999.999999999993</v>
      </c>
      <c r="F14" s="336"/>
      <c r="G14" s="336"/>
      <c r="H14" s="336"/>
      <c r="I14" s="337">
        <f t="shared" si="10"/>
        <v>39999.999999999993</v>
      </c>
      <c r="J14" s="337">
        <f>18000</f>
        <v>18000</v>
      </c>
      <c r="K14" s="337"/>
      <c r="L14" s="340">
        <f>20000+2000</f>
        <v>22000</v>
      </c>
      <c r="M14" s="337"/>
      <c r="N14" s="337">
        <f t="shared" si="11"/>
        <v>40000</v>
      </c>
      <c r="O14" s="336">
        <f t="shared" si="12"/>
        <v>0</v>
      </c>
      <c r="P14" s="332" t="s">
        <v>419</v>
      </c>
      <c r="Q14" s="332" t="s">
        <v>420</v>
      </c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</row>
    <row r="15" spans="1:38" ht="15.75" customHeight="1">
      <c r="A15" s="335"/>
      <c r="B15" s="335"/>
      <c r="C15" s="335"/>
      <c r="D15" s="336"/>
      <c r="E15" s="336"/>
      <c r="F15" s="336"/>
      <c r="G15" s="336"/>
      <c r="H15" s="336"/>
      <c r="I15" s="341">
        <f t="shared" ref="I15:N15" si="13">SUM(I12:I14)</f>
        <v>119999.99999999997</v>
      </c>
      <c r="J15" s="341">
        <f t="shared" si="13"/>
        <v>96430</v>
      </c>
      <c r="K15" s="341">
        <f t="shared" si="13"/>
        <v>0</v>
      </c>
      <c r="L15" s="342">
        <f t="shared" si="13"/>
        <v>23570</v>
      </c>
      <c r="M15" s="341">
        <f t="shared" si="13"/>
        <v>0</v>
      </c>
      <c r="N15" s="341">
        <f t="shared" si="13"/>
        <v>120000</v>
      </c>
      <c r="O15" s="336">
        <f t="shared" si="12"/>
        <v>0</v>
      </c>
      <c r="P15" s="331"/>
      <c r="Q15" s="332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</row>
    <row r="16" spans="1:38" ht="15">
      <c r="A16" s="335"/>
      <c r="B16" s="335"/>
      <c r="C16" s="335"/>
      <c r="D16" s="336"/>
      <c r="E16" s="336"/>
      <c r="F16" s="336"/>
      <c r="G16" s="336"/>
      <c r="H16" s="336"/>
      <c r="I16" s="336"/>
      <c r="J16" s="336"/>
      <c r="K16" s="336"/>
      <c r="L16" s="343"/>
      <c r="M16" s="335"/>
      <c r="N16" s="335"/>
      <c r="O16" s="335"/>
      <c r="P16" s="331"/>
      <c r="Q16" s="332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</row>
    <row r="17" spans="1:38" ht="15">
      <c r="A17" s="498" t="s">
        <v>421</v>
      </c>
      <c r="B17" s="499"/>
      <c r="C17" s="499"/>
      <c r="D17" s="499"/>
      <c r="E17" s="499"/>
      <c r="F17" s="499"/>
      <c r="G17" s="499"/>
      <c r="H17" s="499"/>
      <c r="I17" s="499"/>
      <c r="J17" s="499"/>
      <c r="K17" s="499"/>
      <c r="L17" s="499"/>
      <c r="M17" s="499"/>
      <c r="N17" s="499"/>
      <c r="O17" s="499"/>
      <c r="P17" s="331"/>
      <c r="Q17" s="334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</row>
    <row r="18" spans="1:38" ht="15.75" customHeight="1">
      <c r="A18" s="335" t="s">
        <v>407</v>
      </c>
      <c r="B18" s="335" t="s">
        <v>408</v>
      </c>
      <c r="C18" s="335" t="s">
        <v>409</v>
      </c>
      <c r="D18" s="336" t="s">
        <v>410</v>
      </c>
      <c r="E18" s="336" t="s">
        <v>411</v>
      </c>
      <c r="F18" s="336" t="s">
        <v>412</v>
      </c>
      <c r="G18" s="344" t="s">
        <v>422</v>
      </c>
      <c r="H18" s="336" t="s">
        <v>413</v>
      </c>
      <c r="I18" s="337" t="s">
        <v>163</v>
      </c>
      <c r="J18" s="338" t="s">
        <v>56</v>
      </c>
      <c r="K18" s="338" t="s">
        <v>160</v>
      </c>
      <c r="L18" s="339" t="s">
        <v>161</v>
      </c>
      <c r="M18" s="338" t="s">
        <v>162</v>
      </c>
      <c r="N18" s="338" t="s">
        <v>414</v>
      </c>
      <c r="O18" s="338" t="s">
        <v>70</v>
      </c>
      <c r="P18" s="331"/>
      <c r="Q18" s="332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</row>
    <row r="19" spans="1:38" ht="15.75" customHeight="1">
      <c r="A19" s="335" t="s">
        <v>415</v>
      </c>
      <c r="B19" s="335">
        <v>180</v>
      </c>
      <c r="C19" s="335">
        <v>30</v>
      </c>
      <c r="D19" s="336">
        <f t="shared" ref="D19:D21" si="14">(40000/30)/6</f>
        <v>222.2222222222222</v>
      </c>
      <c r="E19" s="336">
        <f t="shared" ref="E19:E21" si="15">B19*D19</f>
        <v>39999.999999999993</v>
      </c>
      <c r="F19" s="336">
        <f>(C19*D19)</f>
        <v>6666.6666666666661</v>
      </c>
      <c r="G19" s="336">
        <f>(MAX(I68,I75,I83,I5,I12,(E19+F19))/2)</f>
        <v>33999.659999999996</v>
      </c>
      <c r="H19" s="336">
        <f t="shared" ref="H19:H21" si="16">G19</f>
        <v>33999.659999999996</v>
      </c>
      <c r="I19" s="337">
        <f t="shared" ref="I19:I21" si="17">E19+F19+G19-H19</f>
        <v>46666.666666666664</v>
      </c>
      <c r="J19" s="337">
        <v>46670</v>
      </c>
      <c r="K19" s="337"/>
      <c r="L19" s="340"/>
      <c r="M19" s="337"/>
      <c r="N19" s="337">
        <f t="shared" ref="N19:N21" si="18">SUM(J19:M19)</f>
        <v>46670</v>
      </c>
      <c r="O19" s="336">
        <f t="shared" ref="O19:O22" si="19">I19-N19</f>
        <v>-3.3333333333357587</v>
      </c>
      <c r="P19" s="335"/>
      <c r="Q19" s="335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</row>
    <row r="20" spans="1:38" ht="15.75" customHeight="1">
      <c r="A20" s="335" t="s">
        <v>416</v>
      </c>
      <c r="B20" s="335">
        <v>180</v>
      </c>
      <c r="C20" s="335">
        <v>30</v>
      </c>
      <c r="D20" s="336">
        <f t="shared" si="14"/>
        <v>222.2222222222222</v>
      </c>
      <c r="E20" s="336">
        <f t="shared" si="15"/>
        <v>39999.999999999993</v>
      </c>
      <c r="F20" s="336">
        <f t="shared" ref="F20:F21" si="20">C20*D20</f>
        <v>6666.6666666666661</v>
      </c>
      <c r="G20" s="336">
        <f t="shared" ref="G20:G21" si="21">(MAX(I69,I77,I84,I6,I13,(E20+F20))/2)</f>
        <v>33999.659999999996</v>
      </c>
      <c r="H20" s="336">
        <f t="shared" si="16"/>
        <v>33999.659999999996</v>
      </c>
      <c r="I20" s="337">
        <f t="shared" si="17"/>
        <v>46666.666666666664</v>
      </c>
      <c r="J20" s="337">
        <v>46670</v>
      </c>
      <c r="K20" s="337"/>
      <c r="L20" s="340"/>
      <c r="M20" s="337"/>
      <c r="N20" s="337">
        <f t="shared" si="18"/>
        <v>46670</v>
      </c>
      <c r="O20" s="336">
        <f t="shared" si="19"/>
        <v>-3.3333333333357587</v>
      </c>
      <c r="P20" s="331"/>
      <c r="Q20" s="332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</row>
    <row r="21" spans="1:38" ht="15.75" customHeight="1">
      <c r="A21" s="335" t="s">
        <v>417</v>
      </c>
      <c r="B21" s="335">
        <v>180</v>
      </c>
      <c r="C21" s="335">
        <v>30</v>
      </c>
      <c r="D21" s="336">
        <f t="shared" si="14"/>
        <v>222.2222222222222</v>
      </c>
      <c r="E21" s="336">
        <f t="shared" si="15"/>
        <v>39999.999999999993</v>
      </c>
      <c r="F21" s="336">
        <f t="shared" si="20"/>
        <v>6666.6666666666661</v>
      </c>
      <c r="G21" s="336">
        <f t="shared" si="21"/>
        <v>33999.659999999996</v>
      </c>
      <c r="H21" s="336">
        <f t="shared" si="16"/>
        <v>33999.659999999996</v>
      </c>
      <c r="I21" s="337">
        <f t="shared" si="17"/>
        <v>46666.666666666664</v>
      </c>
      <c r="J21" s="337">
        <v>46670</v>
      </c>
      <c r="K21" s="337"/>
      <c r="L21" s="340"/>
      <c r="M21" s="337"/>
      <c r="N21" s="337">
        <f t="shared" si="18"/>
        <v>46670</v>
      </c>
      <c r="O21" s="336">
        <f t="shared" si="19"/>
        <v>-3.3333333333357587</v>
      </c>
      <c r="P21" s="331"/>
      <c r="Q21" s="332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</row>
    <row r="22" spans="1:38" ht="15.75" customHeight="1">
      <c r="A22" s="335"/>
      <c r="B22" s="335"/>
      <c r="C22" s="335"/>
      <c r="D22" s="336"/>
      <c r="E22" s="336"/>
      <c r="F22" s="336"/>
      <c r="G22" s="336"/>
      <c r="H22" s="336"/>
      <c r="I22" s="341">
        <f t="shared" ref="I22:N22" si="22">SUM(I19:I21)</f>
        <v>140000</v>
      </c>
      <c r="J22" s="341">
        <f t="shared" si="22"/>
        <v>140010</v>
      </c>
      <c r="K22" s="341">
        <f t="shared" si="22"/>
        <v>0</v>
      </c>
      <c r="L22" s="342">
        <f t="shared" si="22"/>
        <v>0</v>
      </c>
      <c r="M22" s="341">
        <f t="shared" si="22"/>
        <v>0</v>
      </c>
      <c r="N22" s="341">
        <f t="shared" si="22"/>
        <v>140010</v>
      </c>
      <c r="O22" s="336">
        <f t="shared" si="19"/>
        <v>-10</v>
      </c>
      <c r="P22" s="331"/>
      <c r="Q22" s="332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</row>
    <row r="23" spans="1:38" ht="15">
      <c r="A23" s="335"/>
      <c r="B23" s="335"/>
      <c r="C23" s="335"/>
      <c r="D23" s="336"/>
      <c r="E23" s="336"/>
      <c r="F23" s="336"/>
      <c r="G23" s="336"/>
      <c r="H23" s="336"/>
      <c r="I23" s="336"/>
      <c r="J23" s="336"/>
      <c r="K23" s="336"/>
      <c r="L23" s="343"/>
      <c r="M23" s="335"/>
      <c r="N23" s="335"/>
      <c r="O23" s="335"/>
      <c r="P23" s="331"/>
      <c r="Q23" s="332"/>
      <c r="R23" s="191"/>
      <c r="S23" s="191"/>
      <c r="T23" s="191"/>
      <c r="U23" s="191"/>
      <c r="V23" s="191"/>
      <c r="W23" s="22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</row>
    <row r="24" spans="1:38" ht="15">
      <c r="A24" s="498" t="s">
        <v>423</v>
      </c>
      <c r="B24" s="499"/>
      <c r="C24" s="499"/>
      <c r="D24" s="499"/>
      <c r="E24" s="499"/>
      <c r="F24" s="499"/>
      <c r="G24" s="499"/>
      <c r="H24" s="499"/>
      <c r="I24" s="499"/>
      <c r="J24" s="499"/>
      <c r="K24" s="499"/>
      <c r="L24" s="499"/>
      <c r="M24" s="499"/>
      <c r="N24" s="499"/>
      <c r="O24" s="499"/>
      <c r="P24" s="331"/>
      <c r="Q24" s="334"/>
      <c r="R24" s="191"/>
      <c r="S24" s="191"/>
      <c r="T24" s="191"/>
      <c r="U24" s="191"/>
      <c r="V24" s="191"/>
      <c r="W24" s="22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</row>
    <row r="25" spans="1:38" ht="15.75" customHeight="1">
      <c r="A25" s="335" t="s">
        <v>407</v>
      </c>
      <c r="B25" s="335" t="s">
        <v>408</v>
      </c>
      <c r="C25" s="335" t="s">
        <v>409</v>
      </c>
      <c r="D25" s="336" t="s">
        <v>410</v>
      </c>
      <c r="E25" s="336" t="s">
        <v>411</v>
      </c>
      <c r="F25" s="336" t="s">
        <v>412</v>
      </c>
      <c r="G25" s="336"/>
      <c r="H25" s="336" t="s">
        <v>413</v>
      </c>
      <c r="I25" s="337" t="s">
        <v>163</v>
      </c>
      <c r="J25" s="338" t="s">
        <v>56</v>
      </c>
      <c r="K25" s="338" t="s">
        <v>160</v>
      </c>
      <c r="L25" s="339" t="s">
        <v>161</v>
      </c>
      <c r="M25" s="338" t="s">
        <v>162</v>
      </c>
      <c r="N25" s="338" t="s">
        <v>414</v>
      </c>
      <c r="O25" s="338" t="s">
        <v>70</v>
      </c>
      <c r="P25" s="331"/>
      <c r="Q25" s="332"/>
      <c r="R25" s="191"/>
      <c r="S25" s="191"/>
      <c r="T25" s="191"/>
      <c r="U25" s="191"/>
      <c r="V25" s="191"/>
      <c r="W25" s="22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</row>
    <row r="26" spans="1:38" ht="15.75" customHeight="1">
      <c r="A26" s="335" t="s">
        <v>415</v>
      </c>
      <c r="B26" s="335">
        <v>180</v>
      </c>
      <c r="C26" s="335">
        <v>30</v>
      </c>
      <c r="D26" s="336">
        <f t="shared" ref="D26:D28" si="23">(40000/30)/6</f>
        <v>222.2222222222222</v>
      </c>
      <c r="E26" s="336">
        <f t="shared" ref="E26:E28" si="24">B26*D26</f>
        <v>39999.999999999993</v>
      </c>
      <c r="F26" s="336">
        <f t="shared" ref="F26:F28" si="25">C26*D26</f>
        <v>6666.6666666666661</v>
      </c>
      <c r="G26" s="336"/>
      <c r="H26" s="336"/>
      <c r="I26" s="337">
        <f t="shared" ref="I26:I28" si="26">E26+F26-H26</f>
        <v>46666.666666666657</v>
      </c>
      <c r="J26" s="337">
        <v>23670</v>
      </c>
      <c r="K26" s="337"/>
      <c r="L26" s="340">
        <f>20000+3000</f>
        <v>23000</v>
      </c>
      <c r="M26" s="337"/>
      <c r="N26" s="337">
        <f t="shared" ref="N26:N28" si="27">SUM(J26:M26)</f>
        <v>46670</v>
      </c>
      <c r="O26" s="336">
        <f t="shared" ref="O26:O29" si="28">I26-N26</f>
        <v>-3.3333333333430346</v>
      </c>
      <c r="P26" s="332" t="s">
        <v>424</v>
      </c>
      <c r="Q26" s="332" t="s">
        <v>425</v>
      </c>
      <c r="R26" s="191"/>
      <c r="S26" s="191"/>
      <c r="T26" s="191"/>
      <c r="U26" s="191"/>
      <c r="V26" s="191"/>
      <c r="W26" s="22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</row>
    <row r="27" spans="1:38" ht="15.75" customHeight="1">
      <c r="A27" s="335" t="s">
        <v>416</v>
      </c>
      <c r="B27" s="335">
        <v>180</v>
      </c>
      <c r="C27" s="335">
        <v>24</v>
      </c>
      <c r="D27" s="336">
        <f t="shared" si="23"/>
        <v>222.2222222222222</v>
      </c>
      <c r="E27" s="336">
        <f t="shared" si="24"/>
        <v>39999.999999999993</v>
      </c>
      <c r="F27" s="336">
        <f t="shared" si="25"/>
        <v>5333.333333333333</v>
      </c>
      <c r="G27" s="336"/>
      <c r="H27" s="336"/>
      <c r="I27" s="337">
        <f t="shared" si="26"/>
        <v>45333.333333333328</v>
      </c>
      <c r="J27" s="337">
        <v>45340</v>
      </c>
      <c r="K27" s="337"/>
      <c r="L27" s="340"/>
      <c r="M27" s="337"/>
      <c r="N27" s="337">
        <f t="shared" si="27"/>
        <v>45340</v>
      </c>
      <c r="O27" s="336">
        <f t="shared" si="28"/>
        <v>-6.6666666666715173</v>
      </c>
      <c r="P27" s="331"/>
      <c r="Q27" s="332"/>
      <c r="R27" s="191"/>
      <c r="S27" s="191"/>
      <c r="T27" s="191"/>
      <c r="U27" s="191"/>
      <c r="V27" s="191"/>
      <c r="W27" s="22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</row>
    <row r="28" spans="1:38" ht="15.75" customHeight="1">
      <c r="A28" s="335" t="s">
        <v>417</v>
      </c>
      <c r="B28" s="335">
        <v>180</v>
      </c>
      <c r="C28" s="335">
        <v>18</v>
      </c>
      <c r="D28" s="336">
        <f t="shared" si="23"/>
        <v>222.2222222222222</v>
      </c>
      <c r="E28" s="336">
        <f t="shared" si="24"/>
        <v>39999.999999999993</v>
      </c>
      <c r="F28" s="336">
        <f t="shared" si="25"/>
        <v>3999.9999999999995</v>
      </c>
      <c r="G28" s="336"/>
      <c r="H28" s="336"/>
      <c r="I28" s="337">
        <f t="shared" si="26"/>
        <v>43999.999999999993</v>
      </c>
      <c r="J28" s="337">
        <v>44000</v>
      </c>
      <c r="K28" s="337"/>
      <c r="L28" s="340"/>
      <c r="M28" s="337"/>
      <c r="N28" s="337">
        <f t="shared" si="27"/>
        <v>44000</v>
      </c>
      <c r="O28" s="336">
        <f t="shared" si="28"/>
        <v>0</v>
      </c>
      <c r="P28" s="331"/>
      <c r="Q28" s="332"/>
      <c r="R28" s="191"/>
      <c r="S28" s="191"/>
      <c r="T28" s="191"/>
      <c r="U28" s="191"/>
      <c r="V28" s="191"/>
      <c r="W28" s="22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</row>
    <row r="29" spans="1:38" ht="15.75" customHeight="1">
      <c r="A29" s="335"/>
      <c r="B29" s="335"/>
      <c r="C29" s="335"/>
      <c r="D29" s="336"/>
      <c r="E29" s="336"/>
      <c r="F29" s="336"/>
      <c r="G29" s="336"/>
      <c r="H29" s="336"/>
      <c r="I29" s="341">
        <f t="shared" ref="I29:N29" si="29">SUM(I26:I28)</f>
        <v>135999.99999999997</v>
      </c>
      <c r="J29" s="341">
        <f t="shared" si="29"/>
        <v>113010</v>
      </c>
      <c r="K29" s="341">
        <f t="shared" si="29"/>
        <v>0</v>
      </c>
      <c r="L29" s="342">
        <f t="shared" si="29"/>
        <v>23000</v>
      </c>
      <c r="M29" s="341">
        <f t="shared" si="29"/>
        <v>0</v>
      </c>
      <c r="N29" s="341">
        <f t="shared" si="29"/>
        <v>136010</v>
      </c>
      <c r="O29" s="336">
        <f t="shared" si="28"/>
        <v>-10.000000000029104</v>
      </c>
      <c r="P29" s="331"/>
      <c r="Q29" s="332"/>
      <c r="R29" s="191"/>
      <c r="S29" s="191"/>
      <c r="T29" s="191"/>
      <c r="U29" s="191"/>
      <c r="V29" s="191"/>
      <c r="W29" s="22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</row>
    <row r="30" spans="1:38" ht="15">
      <c r="A30" s="335"/>
      <c r="B30" s="335"/>
      <c r="C30" s="335"/>
      <c r="D30" s="336"/>
      <c r="E30" s="336"/>
      <c r="F30" s="336"/>
      <c r="G30" s="336"/>
      <c r="H30" s="336"/>
      <c r="I30" s="336"/>
      <c r="J30" s="335"/>
      <c r="K30" s="335"/>
      <c r="L30" s="345"/>
      <c r="M30" s="335"/>
      <c r="N30" s="335"/>
      <c r="O30" s="335"/>
      <c r="P30" s="331"/>
      <c r="Q30" s="332"/>
      <c r="R30" s="191"/>
      <c r="S30" s="191"/>
      <c r="T30" s="191"/>
      <c r="U30" s="191"/>
      <c r="V30" s="191"/>
      <c r="W30" s="22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</row>
    <row r="31" spans="1:38" ht="15">
      <c r="A31" s="498" t="s">
        <v>426</v>
      </c>
      <c r="B31" s="499"/>
      <c r="C31" s="499"/>
      <c r="D31" s="499"/>
      <c r="E31" s="499"/>
      <c r="F31" s="499"/>
      <c r="G31" s="499"/>
      <c r="H31" s="499"/>
      <c r="I31" s="499"/>
      <c r="J31" s="499"/>
      <c r="K31" s="499"/>
      <c r="L31" s="499"/>
      <c r="M31" s="499"/>
      <c r="N31" s="499"/>
      <c r="O31" s="499"/>
      <c r="P31" s="331"/>
      <c r="Q31" s="334"/>
      <c r="R31" s="191"/>
      <c r="S31" s="191"/>
      <c r="T31" s="191"/>
      <c r="U31" s="191"/>
      <c r="V31" s="191"/>
      <c r="W31" s="22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</row>
    <row r="32" spans="1:38" ht="15.75" customHeight="1">
      <c r="A32" s="335" t="s">
        <v>407</v>
      </c>
      <c r="B32" s="335" t="s">
        <v>408</v>
      </c>
      <c r="C32" s="335" t="s">
        <v>409</v>
      </c>
      <c r="D32" s="336" t="s">
        <v>410</v>
      </c>
      <c r="E32" s="336" t="s">
        <v>411</v>
      </c>
      <c r="F32" s="336" t="s">
        <v>412</v>
      </c>
      <c r="G32" s="336"/>
      <c r="H32" s="336" t="s">
        <v>413</v>
      </c>
      <c r="I32" s="337" t="s">
        <v>163</v>
      </c>
      <c r="J32" s="338" t="s">
        <v>56</v>
      </c>
      <c r="K32" s="338" t="s">
        <v>160</v>
      </c>
      <c r="L32" s="339" t="s">
        <v>161</v>
      </c>
      <c r="M32" s="338" t="s">
        <v>162</v>
      </c>
      <c r="N32" s="338" t="s">
        <v>414</v>
      </c>
      <c r="O32" s="338" t="s">
        <v>70</v>
      </c>
      <c r="P32" s="331"/>
      <c r="Q32" s="332"/>
      <c r="R32" s="191"/>
      <c r="S32" s="191"/>
      <c r="T32" s="191"/>
      <c r="U32" s="191"/>
      <c r="V32" s="191"/>
      <c r="W32" s="22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</row>
    <row r="33" spans="1:38">
      <c r="A33" s="335" t="s">
        <v>415</v>
      </c>
      <c r="B33" s="335">
        <v>180</v>
      </c>
      <c r="C33" s="335">
        <v>36</v>
      </c>
      <c r="D33" s="336">
        <f t="shared" ref="D33:D35" si="30">(40000/30)/6</f>
        <v>222.2222222222222</v>
      </c>
      <c r="E33" s="336">
        <f t="shared" ref="E33:E35" si="31">B33*D33</f>
        <v>39999.999999999993</v>
      </c>
      <c r="F33" s="336">
        <f t="shared" ref="F33:F35" si="32">C33*D33</f>
        <v>7999.9999999999991</v>
      </c>
      <c r="G33" s="336"/>
      <c r="H33" s="336"/>
      <c r="I33" s="337">
        <f t="shared" ref="I33:I35" si="33">E33+F33-H33</f>
        <v>47999.999999999993</v>
      </c>
      <c r="J33" s="337">
        <v>48000</v>
      </c>
      <c r="K33" s="337"/>
      <c r="L33" s="340"/>
      <c r="M33" s="337"/>
      <c r="N33" s="337">
        <f t="shared" ref="N33:N35" si="34">SUM(J33:M33)</f>
        <v>48000</v>
      </c>
      <c r="O33" s="336">
        <f t="shared" ref="O33:O36" si="35">I33-N33</f>
        <v>0</v>
      </c>
      <c r="P33" s="331"/>
      <c r="Q33" s="332"/>
      <c r="R33" s="191"/>
      <c r="S33" s="191"/>
      <c r="T33" s="191"/>
      <c r="U33" s="191"/>
      <c r="V33" s="191"/>
      <c r="W33" s="22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</row>
    <row r="34" spans="1:38">
      <c r="A34" s="335" t="s">
        <v>416</v>
      </c>
      <c r="B34" s="335">
        <v>180</v>
      </c>
      <c r="C34" s="335">
        <v>30</v>
      </c>
      <c r="D34" s="336">
        <f t="shared" si="30"/>
        <v>222.2222222222222</v>
      </c>
      <c r="E34" s="336">
        <f t="shared" si="31"/>
        <v>39999.999999999993</v>
      </c>
      <c r="F34" s="336">
        <f t="shared" si="32"/>
        <v>6666.6666666666661</v>
      </c>
      <c r="G34" s="336"/>
      <c r="H34" s="336"/>
      <c r="I34" s="337">
        <f t="shared" si="33"/>
        <v>46666.666666666657</v>
      </c>
      <c r="J34" s="337">
        <f>41670-14000+3000</f>
        <v>30670</v>
      </c>
      <c r="K34" s="337"/>
      <c r="L34" s="340">
        <f>5000+13000+1000</f>
        <v>19000</v>
      </c>
      <c r="M34" s="337"/>
      <c r="N34" s="337">
        <f t="shared" si="34"/>
        <v>49670</v>
      </c>
      <c r="O34" s="336">
        <f t="shared" si="35"/>
        <v>-3003.333333333343</v>
      </c>
      <c r="P34" s="332" t="s">
        <v>427</v>
      </c>
      <c r="Q34" s="332" t="s">
        <v>428</v>
      </c>
      <c r="R34" s="191"/>
      <c r="S34" s="191"/>
      <c r="T34" s="191"/>
      <c r="U34" s="191"/>
      <c r="V34" s="191"/>
      <c r="W34" s="22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</row>
    <row r="35" spans="1:38">
      <c r="A35" s="335" t="s">
        <v>417</v>
      </c>
      <c r="B35" s="335">
        <v>180</v>
      </c>
      <c r="C35" s="335">
        <v>30</v>
      </c>
      <c r="D35" s="336">
        <f t="shared" si="30"/>
        <v>222.2222222222222</v>
      </c>
      <c r="E35" s="336">
        <f t="shared" si="31"/>
        <v>39999.999999999993</v>
      </c>
      <c r="F35" s="336">
        <f t="shared" si="32"/>
        <v>6666.6666666666661</v>
      </c>
      <c r="G35" s="336"/>
      <c r="H35" s="336"/>
      <c r="I35" s="337">
        <f t="shared" si="33"/>
        <v>46666.666666666657</v>
      </c>
      <c r="J35" s="337">
        <f>46670</f>
        <v>46670</v>
      </c>
      <c r="K35" s="337"/>
      <c r="L35" s="340"/>
      <c r="M35" s="337"/>
      <c r="N35" s="337">
        <f t="shared" si="34"/>
        <v>46670</v>
      </c>
      <c r="O35" s="336">
        <f t="shared" si="35"/>
        <v>-3.3333333333430346</v>
      </c>
      <c r="P35" s="332" t="s">
        <v>429</v>
      </c>
      <c r="Q35" s="332"/>
      <c r="R35" s="191"/>
      <c r="S35" s="191"/>
      <c r="T35" s="191"/>
      <c r="U35" s="191"/>
      <c r="V35" s="191"/>
      <c r="W35" s="22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</row>
    <row r="36" spans="1:38">
      <c r="A36" s="335"/>
      <c r="B36" s="335"/>
      <c r="C36" s="335"/>
      <c r="D36" s="336"/>
      <c r="E36" s="336"/>
      <c r="F36" s="336"/>
      <c r="G36" s="336"/>
      <c r="H36" s="336"/>
      <c r="I36" s="341">
        <f t="shared" ref="I36:N36" si="36">SUM(I33:I35)</f>
        <v>141333.33333333331</v>
      </c>
      <c r="J36" s="341">
        <f t="shared" si="36"/>
        <v>125340</v>
      </c>
      <c r="K36" s="341">
        <f t="shared" si="36"/>
        <v>0</v>
      </c>
      <c r="L36" s="342">
        <f t="shared" si="36"/>
        <v>19000</v>
      </c>
      <c r="M36" s="341">
        <f t="shared" si="36"/>
        <v>0</v>
      </c>
      <c r="N36" s="341">
        <f t="shared" si="36"/>
        <v>144340</v>
      </c>
      <c r="O36" s="336">
        <f t="shared" si="35"/>
        <v>-3006.6666666666861</v>
      </c>
      <c r="P36" s="331"/>
      <c r="Q36" s="332"/>
      <c r="R36" s="191"/>
      <c r="S36" s="191"/>
      <c r="T36" s="191"/>
      <c r="U36" s="191"/>
      <c r="V36" s="191"/>
      <c r="W36" s="22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</row>
    <row r="37" spans="1:38" ht="15">
      <c r="A37" s="335"/>
      <c r="B37" s="335"/>
      <c r="C37" s="335"/>
      <c r="D37" s="336"/>
      <c r="E37" s="336"/>
      <c r="F37" s="336"/>
      <c r="G37" s="336"/>
      <c r="H37" s="336"/>
      <c r="I37" s="336"/>
      <c r="J37" s="335"/>
      <c r="K37" s="335"/>
      <c r="L37" s="345"/>
      <c r="M37" s="335"/>
      <c r="N37" s="335"/>
      <c r="O37" s="335"/>
      <c r="P37" s="331"/>
      <c r="Q37" s="332"/>
      <c r="R37" s="191"/>
      <c r="S37" s="191"/>
      <c r="T37" s="191"/>
      <c r="U37" s="191"/>
      <c r="V37" s="191"/>
      <c r="W37" s="22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</row>
    <row r="38" spans="1:38" ht="15">
      <c r="A38" s="498" t="s">
        <v>430</v>
      </c>
      <c r="B38" s="499"/>
      <c r="C38" s="499"/>
      <c r="D38" s="499"/>
      <c r="E38" s="499"/>
      <c r="F38" s="499"/>
      <c r="G38" s="499"/>
      <c r="H38" s="499"/>
      <c r="I38" s="499"/>
      <c r="J38" s="499"/>
      <c r="K38" s="499"/>
      <c r="L38" s="499"/>
      <c r="M38" s="499"/>
      <c r="N38" s="499"/>
      <c r="O38" s="499"/>
      <c r="P38" s="331"/>
      <c r="Q38" s="334"/>
      <c r="R38" s="191"/>
      <c r="S38" s="191"/>
      <c r="T38" s="191"/>
      <c r="U38" s="191"/>
      <c r="V38" s="191"/>
      <c r="W38" s="22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</row>
    <row r="39" spans="1:38">
      <c r="A39" s="335" t="s">
        <v>407</v>
      </c>
      <c r="B39" s="335" t="s">
        <v>408</v>
      </c>
      <c r="C39" s="335" t="s">
        <v>409</v>
      </c>
      <c r="D39" s="336" t="s">
        <v>410</v>
      </c>
      <c r="E39" s="336" t="s">
        <v>411</v>
      </c>
      <c r="F39" s="336" t="s">
        <v>412</v>
      </c>
      <c r="G39" s="336"/>
      <c r="H39" s="336" t="s">
        <v>413</v>
      </c>
      <c r="I39" s="337" t="s">
        <v>163</v>
      </c>
      <c r="J39" s="338" t="s">
        <v>56</v>
      </c>
      <c r="K39" s="338" t="s">
        <v>160</v>
      </c>
      <c r="L39" s="339" t="s">
        <v>161</v>
      </c>
      <c r="M39" s="338" t="s">
        <v>162</v>
      </c>
      <c r="N39" s="338" t="s">
        <v>414</v>
      </c>
      <c r="O39" s="338" t="s">
        <v>70</v>
      </c>
      <c r="P39" s="331"/>
      <c r="Q39" s="332"/>
      <c r="R39" s="191"/>
      <c r="S39" s="191"/>
      <c r="T39" s="191"/>
      <c r="U39" s="191"/>
      <c r="V39" s="191"/>
      <c r="W39" s="22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</row>
    <row r="40" spans="1:38">
      <c r="A40" s="335" t="s">
        <v>415</v>
      </c>
      <c r="B40" s="335">
        <v>180</v>
      </c>
      <c r="C40" s="335">
        <v>36</v>
      </c>
      <c r="D40" s="336">
        <f t="shared" ref="D40:D42" si="37">(40000/30)/6</f>
        <v>222.2222222222222</v>
      </c>
      <c r="E40" s="336">
        <f t="shared" ref="E40:E42" si="38">B40*D40</f>
        <v>39999.999999999993</v>
      </c>
      <c r="F40" s="336">
        <f t="shared" ref="F40:F42" si="39">C40*D40</f>
        <v>7999.9999999999991</v>
      </c>
      <c r="G40" s="336"/>
      <c r="H40" s="336"/>
      <c r="I40" s="337">
        <f t="shared" ref="I40:I42" si="40">E40+F40-H40</f>
        <v>47999.999999999993</v>
      </c>
      <c r="J40" s="337">
        <v>1930</v>
      </c>
      <c r="K40" s="337">
        <f>30000+6070</f>
        <v>36070</v>
      </c>
      <c r="L40" s="340">
        <v>10000</v>
      </c>
      <c r="M40" s="337"/>
      <c r="N40" s="337">
        <f t="shared" ref="N40:N42" si="41">SUM(J40:M40)</f>
        <v>48000</v>
      </c>
      <c r="O40" s="336">
        <f t="shared" ref="O40:O43" si="42">I40-N40</f>
        <v>0</v>
      </c>
      <c r="P40" s="332" t="s">
        <v>431</v>
      </c>
      <c r="Q40" s="332" t="s">
        <v>432</v>
      </c>
      <c r="R40" s="191"/>
      <c r="S40" s="191"/>
      <c r="T40" s="191"/>
      <c r="U40" s="191"/>
      <c r="V40" s="191"/>
      <c r="W40" s="22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</row>
    <row r="41" spans="1:38">
      <c r="A41" s="335" t="s">
        <v>416</v>
      </c>
      <c r="B41" s="335">
        <v>180</v>
      </c>
      <c r="C41" s="335">
        <v>24</v>
      </c>
      <c r="D41" s="336">
        <f t="shared" si="37"/>
        <v>222.2222222222222</v>
      </c>
      <c r="E41" s="336">
        <f t="shared" si="38"/>
        <v>39999.999999999993</v>
      </c>
      <c r="F41" s="336">
        <f t="shared" si="39"/>
        <v>5333.333333333333</v>
      </c>
      <c r="G41" s="336"/>
      <c r="H41" s="336"/>
      <c r="I41" s="337">
        <f t="shared" si="40"/>
        <v>45333.333333333328</v>
      </c>
      <c r="J41" s="337">
        <f>24340+14000-3000</f>
        <v>35340</v>
      </c>
      <c r="K41" s="337"/>
      <c r="L41" s="340">
        <f>10000</f>
        <v>10000</v>
      </c>
      <c r="M41" s="337"/>
      <c r="N41" s="337">
        <f t="shared" si="41"/>
        <v>45340</v>
      </c>
      <c r="O41" s="336">
        <f t="shared" si="42"/>
        <v>-6.6666666666715173</v>
      </c>
      <c r="P41" s="331">
        <v>44842</v>
      </c>
      <c r="Q41" s="332" t="s">
        <v>433</v>
      </c>
      <c r="R41" s="191"/>
      <c r="S41" s="191"/>
      <c r="T41" s="191"/>
      <c r="U41" s="191"/>
      <c r="V41" s="191"/>
      <c r="W41" s="22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</row>
    <row r="42" spans="1:38">
      <c r="A42" s="335" t="s">
        <v>417</v>
      </c>
      <c r="B42" s="335">
        <v>180</v>
      </c>
      <c r="C42" s="335">
        <v>30</v>
      </c>
      <c r="D42" s="336">
        <f t="shared" si="37"/>
        <v>222.2222222222222</v>
      </c>
      <c r="E42" s="336">
        <f t="shared" si="38"/>
        <v>39999.999999999993</v>
      </c>
      <c r="F42" s="336">
        <f t="shared" si="39"/>
        <v>6666.6666666666661</v>
      </c>
      <c r="G42" s="336"/>
      <c r="H42" s="336"/>
      <c r="I42" s="337">
        <f t="shared" si="40"/>
        <v>46666.666666666657</v>
      </c>
      <c r="J42" s="337">
        <f>20000+26670</f>
        <v>46670</v>
      </c>
      <c r="K42" s="337"/>
      <c r="L42" s="340"/>
      <c r="M42" s="337"/>
      <c r="N42" s="337">
        <f t="shared" si="41"/>
        <v>46670</v>
      </c>
      <c r="O42" s="336">
        <f t="shared" si="42"/>
        <v>-3.3333333333430346</v>
      </c>
      <c r="P42" s="331"/>
      <c r="Q42" s="332"/>
      <c r="R42" s="191"/>
      <c r="S42" s="191"/>
      <c r="T42" s="191"/>
      <c r="U42" s="191"/>
      <c r="V42" s="191"/>
      <c r="W42" s="22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</row>
    <row r="43" spans="1:38">
      <c r="A43" s="335"/>
      <c r="B43" s="335"/>
      <c r="C43" s="335"/>
      <c r="D43" s="336"/>
      <c r="E43" s="336"/>
      <c r="F43" s="336"/>
      <c r="G43" s="336"/>
      <c r="H43" s="336"/>
      <c r="I43" s="341">
        <f t="shared" ref="I43:N43" si="43">SUM(I40:I42)</f>
        <v>139999.99999999997</v>
      </c>
      <c r="J43" s="341">
        <f t="shared" si="43"/>
        <v>83940</v>
      </c>
      <c r="K43" s="341">
        <f t="shared" si="43"/>
        <v>36070</v>
      </c>
      <c r="L43" s="342">
        <f t="shared" si="43"/>
        <v>20000</v>
      </c>
      <c r="M43" s="341">
        <f t="shared" si="43"/>
        <v>0</v>
      </c>
      <c r="N43" s="341">
        <f t="shared" si="43"/>
        <v>140010</v>
      </c>
      <c r="O43" s="336">
        <f t="shared" si="42"/>
        <v>-10.000000000029104</v>
      </c>
      <c r="P43" s="331"/>
      <c r="Q43" s="332"/>
      <c r="R43" s="191"/>
      <c r="S43" s="191"/>
      <c r="T43" s="191"/>
      <c r="U43" s="191"/>
      <c r="V43" s="191"/>
      <c r="W43" s="22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</row>
    <row r="44" spans="1:38" ht="15">
      <c r="A44" s="335"/>
      <c r="B44" s="335"/>
      <c r="C44" s="335"/>
      <c r="D44" s="336"/>
      <c r="E44" s="336"/>
      <c r="F44" s="336"/>
      <c r="G44" s="336"/>
      <c r="H44" s="336"/>
      <c r="I44" s="336"/>
      <c r="J44" s="335"/>
      <c r="K44" s="335"/>
      <c r="L44" s="345"/>
      <c r="M44" s="335"/>
      <c r="N44" s="335"/>
      <c r="O44" s="335"/>
      <c r="P44" s="331"/>
      <c r="Q44" s="332"/>
      <c r="R44" s="191"/>
      <c r="S44" s="191"/>
      <c r="T44" s="191"/>
      <c r="U44" s="191"/>
      <c r="V44" s="191"/>
      <c r="W44" s="22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</row>
    <row r="45" spans="1:38" ht="15">
      <c r="A45" s="498" t="s">
        <v>434</v>
      </c>
      <c r="B45" s="499"/>
      <c r="C45" s="499"/>
      <c r="D45" s="499"/>
      <c r="E45" s="499"/>
      <c r="F45" s="499"/>
      <c r="G45" s="499"/>
      <c r="H45" s="499"/>
      <c r="I45" s="499"/>
      <c r="J45" s="499"/>
      <c r="K45" s="499"/>
      <c r="L45" s="499"/>
      <c r="M45" s="499"/>
      <c r="N45" s="499"/>
      <c r="O45" s="499"/>
      <c r="P45" s="331"/>
      <c r="Q45" s="334"/>
      <c r="R45" s="191"/>
      <c r="S45" s="191"/>
      <c r="T45" s="191"/>
      <c r="U45" s="191"/>
      <c r="V45" s="191"/>
      <c r="W45" s="22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</row>
    <row r="46" spans="1:38">
      <c r="A46" s="335" t="s">
        <v>407</v>
      </c>
      <c r="B46" s="335" t="s">
        <v>408</v>
      </c>
      <c r="C46" s="335" t="s">
        <v>409</v>
      </c>
      <c r="D46" s="336" t="s">
        <v>410</v>
      </c>
      <c r="E46" s="336" t="s">
        <v>411</v>
      </c>
      <c r="F46" s="336" t="s">
        <v>412</v>
      </c>
      <c r="G46" s="336"/>
      <c r="H46" s="336" t="s">
        <v>413</v>
      </c>
      <c r="I46" s="337" t="s">
        <v>163</v>
      </c>
      <c r="J46" s="338" t="s">
        <v>56</v>
      </c>
      <c r="K46" s="338" t="s">
        <v>160</v>
      </c>
      <c r="L46" s="339" t="s">
        <v>161</v>
      </c>
      <c r="M46" s="338" t="s">
        <v>162</v>
      </c>
      <c r="N46" s="338" t="s">
        <v>414</v>
      </c>
      <c r="O46" s="338" t="s">
        <v>70</v>
      </c>
      <c r="P46" s="331"/>
      <c r="Q46" s="332"/>
      <c r="R46" s="191"/>
      <c r="S46" s="191"/>
      <c r="T46" s="191"/>
      <c r="U46" s="191"/>
      <c r="V46" s="191"/>
      <c r="W46" s="22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</row>
    <row r="47" spans="1:38">
      <c r="A47" s="335" t="s">
        <v>415</v>
      </c>
      <c r="B47" s="335">
        <v>180</v>
      </c>
      <c r="C47" s="335"/>
      <c r="D47" s="336">
        <f t="shared" ref="D47:D49" si="44">(40000/30)/6</f>
        <v>222.2222222222222</v>
      </c>
      <c r="E47" s="336">
        <f t="shared" ref="E47:E49" si="45">B47*D47</f>
        <v>39999.999999999993</v>
      </c>
      <c r="F47" s="336">
        <f t="shared" ref="F47:F49" si="46">C47*D47</f>
        <v>0</v>
      </c>
      <c r="G47" s="336"/>
      <c r="H47" s="336">
        <v>1340</v>
      </c>
      <c r="I47" s="337">
        <f t="shared" ref="I47:I49" si="47">E47+F47-H47</f>
        <v>38659.999999999993</v>
      </c>
      <c r="J47" s="337">
        <v>8660</v>
      </c>
      <c r="K47" s="337"/>
      <c r="L47" s="340">
        <v>30000</v>
      </c>
      <c r="M47" s="337"/>
      <c r="N47" s="337">
        <f t="shared" ref="N47:N49" si="48">SUM(J47:M47)</f>
        <v>38660</v>
      </c>
      <c r="O47" s="336">
        <f t="shared" ref="O47:O50" si="49">I47-N47</f>
        <v>0</v>
      </c>
      <c r="P47" s="331">
        <v>44864</v>
      </c>
      <c r="Q47" s="332">
        <v>51044295359</v>
      </c>
      <c r="R47" s="191"/>
      <c r="S47" s="191"/>
      <c r="T47" s="191"/>
      <c r="U47" s="191"/>
      <c r="V47" s="191"/>
      <c r="W47" s="22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</row>
    <row r="48" spans="1:38">
      <c r="A48" s="335" t="s">
        <v>416</v>
      </c>
      <c r="B48" s="335">
        <v>180</v>
      </c>
      <c r="C48" s="335">
        <v>18</v>
      </c>
      <c r="D48" s="336">
        <f t="shared" si="44"/>
        <v>222.2222222222222</v>
      </c>
      <c r="E48" s="336">
        <f t="shared" si="45"/>
        <v>39999.999999999993</v>
      </c>
      <c r="F48" s="336">
        <f t="shared" si="46"/>
        <v>3999.9999999999995</v>
      </c>
      <c r="G48" s="336"/>
      <c r="H48" s="336">
        <v>4340</v>
      </c>
      <c r="I48" s="337">
        <f t="shared" si="47"/>
        <v>39659.999999999993</v>
      </c>
      <c r="J48" s="337">
        <v>39660</v>
      </c>
      <c r="K48" s="337"/>
      <c r="L48" s="340"/>
      <c r="M48" s="337"/>
      <c r="N48" s="337">
        <f t="shared" si="48"/>
        <v>39660</v>
      </c>
      <c r="O48" s="336">
        <f t="shared" si="49"/>
        <v>0</v>
      </c>
      <c r="P48" s="331"/>
      <c r="Q48" s="332"/>
      <c r="R48" s="191"/>
      <c r="S48" s="191"/>
      <c r="T48" s="191"/>
      <c r="U48" s="191"/>
      <c r="V48" s="191"/>
      <c r="W48" s="22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</row>
    <row r="49" spans="1:38">
      <c r="A49" s="335" t="s">
        <v>417</v>
      </c>
      <c r="B49" s="335">
        <v>180</v>
      </c>
      <c r="C49" s="335">
        <v>6</v>
      </c>
      <c r="D49" s="336">
        <f t="shared" si="44"/>
        <v>222.2222222222222</v>
      </c>
      <c r="E49" s="336">
        <f t="shared" si="45"/>
        <v>39999.999999999993</v>
      </c>
      <c r="F49" s="336">
        <f t="shared" si="46"/>
        <v>1333.3333333333333</v>
      </c>
      <c r="G49" s="336"/>
      <c r="H49" s="336">
        <v>1340</v>
      </c>
      <c r="I49" s="337">
        <f t="shared" si="47"/>
        <v>39993.333333333328</v>
      </c>
      <c r="J49" s="337">
        <v>40000</v>
      </c>
      <c r="K49" s="337"/>
      <c r="L49" s="340"/>
      <c r="M49" s="337"/>
      <c r="N49" s="337">
        <f t="shared" si="48"/>
        <v>40000</v>
      </c>
      <c r="O49" s="336">
        <f t="shared" si="49"/>
        <v>-6.6666666666715173</v>
      </c>
      <c r="P49" s="331"/>
      <c r="Q49" s="332"/>
      <c r="R49" s="191"/>
      <c r="S49" s="191"/>
      <c r="T49" s="191"/>
      <c r="U49" s="191"/>
      <c r="V49" s="191"/>
      <c r="W49" s="22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</row>
    <row r="50" spans="1:38">
      <c r="A50" s="335"/>
      <c r="B50" s="335"/>
      <c r="C50" s="335"/>
      <c r="D50" s="336"/>
      <c r="E50" s="336"/>
      <c r="F50" s="336"/>
      <c r="G50" s="336"/>
      <c r="H50" s="336"/>
      <c r="I50" s="341">
        <f t="shared" ref="I50:N50" si="50">SUM(I47:I49)</f>
        <v>118313.33333333331</v>
      </c>
      <c r="J50" s="341">
        <f t="shared" si="50"/>
        <v>88320</v>
      </c>
      <c r="K50" s="341">
        <f t="shared" si="50"/>
        <v>0</v>
      </c>
      <c r="L50" s="342">
        <f t="shared" si="50"/>
        <v>30000</v>
      </c>
      <c r="M50" s="341">
        <f t="shared" si="50"/>
        <v>0</v>
      </c>
      <c r="N50" s="341">
        <f t="shared" si="50"/>
        <v>118320</v>
      </c>
      <c r="O50" s="336">
        <f t="shared" si="49"/>
        <v>-6.6666666666860692</v>
      </c>
      <c r="P50" s="331"/>
      <c r="Q50" s="332"/>
      <c r="R50" s="191"/>
      <c r="S50" s="191"/>
      <c r="T50" s="191"/>
      <c r="U50" s="191"/>
      <c r="V50" s="191"/>
      <c r="W50" s="22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</row>
    <row r="51" spans="1:38" ht="15">
      <c r="A51" s="335"/>
      <c r="B51" s="335"/>
      <c r="C51" s="335"/>
      <c r="D51" s="336"/>
      <c r="E51" s="336"/>
      <c r="F51" s="336"/>
      <c r="G51" s="336"/>
      <c r="H51" s="336"/>
      <c r="I51" s="336"/>
      <c r="J51" s="335"/>
      <c r="K51" s="335"/>
      <c r="L51" s="345"/>
      <c r="M51" s="335"/>
      <c r="N51" s="335"/>
      <c r="O51" s="335"/>
      <c r="P51" s="331"/>
      <c r="Q51" s="332"/>
      <c r="R51" s="191"/>
      <c r="S51" s="191"/>
      <c r="T51" s="191"/>
      <c r="U51" s="191"/>
      <c r="V51" s="191"/>
      <c r="W51" s="22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</row>
    <row r="52" spans="1:38" ht="15">
      <c r="A52" s="498" t="s">
        <v>435</v>
      </c>
      <c r="B52" s="499"/>
      <c r="C52" s="499"/>
      <c r="D52" s="499"/>
      <c r="E52" s="499"/>
      <c r="F52" s="499"/>
      <c r="G52" s="499"/>
      <c r="H52" s="499"/>
      <c r="I52" s="499"/>
      <c r="J52" s="499"/>
      <c r="K52" s="499"/>
      <c r="L52" s="499"/>
      <c r="M52" s="499"/>
      <c r="N52" s="499"/>
      <c r="O52" s="499"/>
      <c r="P52" s="331"/>
      <c r="Q52" s="334"/>
      <c r="R52" s="191"/>
      <c r="S52" s="191"/>
      <c r="T52" s="191"/>
      <c r="U52" s="191"/>
      <c r="V52" s="191"/>
      <c r="W52" s="22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</row>
    <row r="53" spans="1:38">
      <c r="A53" s="335" t="s">
        <v>407</v>
      </c>
      <c r="B53" s="335" t="s">
        <v>408</v>
      </c>
      <c r="C53" s="335" t="s">
        <v>409</v>
      </c>
      <c r="D53" s="336" t="s">
        <v>410</v>
      </c>
      <c r="E53" s="336" t="s">
        <v>411</v>
      </c>
      <c r="F53" s="336" t="s">
        <v>412</v>
      </c>
      <c r="G53" s="336"/>
      <c r="H53" s="336" t="s">
        <v>413</v>
      </c>
      <c r="I53" s="337" t="s">
        <v>163</v>
      </c>
      <c r="J53" s="338" t="s">
        <v>56</v>
      </c>
      <c r="K53" s="338" t="s">
        <v>160</v>
      </c>
      <c r="L53" s="339" t="s">
        <v>161</v>
      </c>
      <c r="M53" s="338" t="s">
        <v>162</v>
      </c>
      <c r="N53" s="338" t="s">
        <v>414</v>
      </c>
      <c r="O53" s="338" t="s">
        <v>70</v>
      </c>
      <c r="P53" s="331"/>
      <c r="Q53" s="332"/>
      <c r="R53" s="191"/>
      <c r="S53" s="191"/>
      <c r="T53" s="191"/>
      <c r="U53" s="191"/>
      <c r="V53" s="191"/>
      <c r="W53" s="221"/>
      <c r="X53" s="191"/>
      <c r="Y53" s="191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</row>
    <row r="54" spans="1:38">
      <c r="A54" s="335" t="s">
        <v>415</v>
      </c>
      <c r="B54" s="335">
        <v>180</v>
      </c>
      <c r="C54" s="335">
        <v>24</v>
      </c>
      <c r="D54" s="336">
        <f t="shared" ref="D54:D56" si="51">(40000/30)/6</f>
        <v>222.2222222222222</v>
      </c>
      <c r="E54" s="336">
        <f t="shared" ref="E54:E56" si="52">B54*D54</f>
        <v>39999.999999999993</v>
      </c>
      <c r="F54" s="336">
        <f t="shared" ref="F54:F56" si="53">C54*D54</f>
        <v>5333.333333333333</v>
      </c>
      <c r="G54" s="336"/>
      <c r="H54" s="336"/>
      <c r="I54" s="337">
        <f t="shared" ref="I54:I56" si="54">E54+F54-H54</f>
        <v>45333.333333333328</v>
      </c>
      <c r="J54" s="337">
        <f>9730+24000</f>
        <v>33730</v>
      </c>
      <c r="K54" s="337">
        <v>15000</v>
      </c>
      <c r="L54" s="340">
        <f>20000+610</f>
        <v>20610</v>
      </c>
      <c r="M54" s="337"/>
      <c r="N54" s="337">
        <f t="shared" ref="N54:N56" si="55">SUM(J54:M54)</f>
        <v>69340</v>
      </c>
      <c r="O54" s="336">
        <f t="shared" ref="O54:O57" si="56">I54-N54</f>
        <v>-24006.666666666672</v>
      </c>
      <c r="P54" s="332" t="s">
        <v>436</v>
      </c>
      <c r="Q54" s="332" t="s">
        <v>437</v>
      </c>
      <c r="R54" s="191"/>
      <c r="S54" s="191"/>
      <c r="T54" s="191"/>
      <c r="U54" s="191"/>
      <c r="V54" s="191"/>
      <c r="W54" s="22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</row>
    <row r="55" spans="1:38">
      <c r="A55" s="335" t="s">
        <v>416</v>
      </c>
      <c r="B55" s="335">
        <v>180</v>
      </c>
      <c r="C55" s="335"/>
      <c r="D55" s="336">
        <f t="shared" si="51"/>
        <v>222.2222222222222</v>
      </c>
      <c r="E55" s="336">
        <f t="shared" si="52"/>
        <v>39999.999999999993</v>
      </c>
      <c r="F55" s="336">
        <f t="shared" si="53"/>
        <v>0</v>
      </c>
      <c r="G55" s="336"/>
      <c r="H55" s="336"/>
      <c r="I55" s="337">
        <f t="shared" si="54"/>
        <v>39999.999999999993</v>
      </c>
      <c r="J55" s="337"/>
      <c r="K55" s="337"/>
      <c r="L55" s="340">
        <f>23340+40000</f>
        <v>63340</v>
      </c>
      <c r="M55" s="337"/>
      <c r="N55" s="337">
        <f t="shared" si="55"/>
        <v>63340</v>
      </c>
      <c r="O55" s="336">
        <f t="shared" si="56"/>
        <v>-23340.000000000007</v>
      </c>
      <c r="P55" s="332" t="s">
        <v>438</v>
      </c>
      <c r="Q55" s="332" t="s">
        <v>439</v>
      </c>
      <c r="R55" s="191"/>
      <c r="S55" s="191"/>
      <c r="T55" s="191"/>
      <c r="U55" s="191"/>
      <c r="V55" s="191"/>
      <c r="W55" s="22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</row>
    <row r="56" spans="1:38">
      <c r="A56" s="335" t="s">
        <v>417</v>
      </c>
      <c r="B56" s="335">
        <v>180</v>
      </c>
      <c r="C56" s="335">
        <v>18</v>
      </c>
      <c r="D56" s="336">
        <f t="shared" si="51"/>
        <v>222.2222222222222</v>
      </c>
      <c r="E56" s="336">
        <f t="shared" si="52"/>
        <v>39999.999999999993</v>
      </c>
      <c r="F56" s="336">
        <f t="shared" si="53"/>
        <v>3999.9999999999995</v>
      </c>
      <c r="G56" s="336"/>
      <c r="H56" s="336"/>
      <c r="I56" s="337">
        <f t="shared" si="54"/>
        <v>43999.999999999993</v>
      </c>
      <c r="J56" s="337">
        <v>44000</v>
      </c>
      <c r="K56" s="337"/>
      <c r="L56" s="340">
        <v>23340</v>
      </c>
      <c r="M56" s="337"/>
      <c r="N56" s="337">
        <f t="shared" si="55"/>
        <v>67340</v>
      </c>
      <c r="O56" s="336">
        <f t="shared" si="56"/>
        <v>-23340.000000000007</v>
      </c>
      <c r="P56" s="346">
        <v>44910</v>
      </c>
      <c r="Q56" s="347">
        <v>52604557260</v>
      </c>
      <c r="R56" s="191"/>
      <c r="S56" s="191"/>
      <c r="T56" s="191"/>
      <c r="U56" s="191"/>
      <c r="V56" s="191"/>
      <c r="W56" s="22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</row>
    <row r="57" spans="1:38">
      <c r="A57" s="335"/>
      <c r="B57" s="335"/>
      <c r="C57" s="335"/>
      <c r="D57" s="336"/>
      <c r="E57" s="336"/>
      <c r="F57" s="336"/>
      <c r="G57" s="336"/>
      <c r="H57" s="336"/>
      <c r="I57" s="341">
        <f t="shared" ref="I57:N57" si="57">SUM(I54:I56)</f>
        <v>129333.33333333331</v>
      </c>
      <c r="J57" s="341">
        <f t="shared" si="57"/>
        <v>77730</v>
      </c>
      <c r="K57" s="341">
        <f t="shared" si="57"/>
        <v>15000</v>
      </c>
      <c r="L57" s="342">
        <f t="shared" si="57"/>
        <v>107290</v>
      </c>
      <c r="M57" s="341">
        <f t="shared" si="57"/>
        <v>0</v>
      </c>
      <c r="N57" s="341">
        <f t="shared" si="57"/>
        <v>200020</v>
      </c>
      <c r="O57" s="336">
        <f t="shared" si="56"/>
        <v>-70686.666666666686</v>
      </c>
      <c r="P57" s="331"/>
      <c r="Q57" s="332"/>
      <c r="R57" s="191"/>
      <c r="S57" s="191"/>
      <c r="T57" s="191"/>
      <c r="U57" s="191"/>
      <c r="V57" s="191"/>
      <c r="W57" s="22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</row>
    <row r="58" spans="1:38" ht="15">
      <c r="A58" s="335"/>
      <c r="B58" s="335"/>
      <c r="C58" s="335"/>
      <c r="D58" s="336"/>
      <c r="E58" s="336"/>
      <c r="F58" s="336"/>
      <c r="G58" s="336"/>
      <c r="H58" s="336"/>
      <c r="I58" s="336"/>
      <c r="J58" s="335"/>
      <c r="K58" s="335"/>
      <c r="L58" s="345"/>
      <c r="M58" s="335"/>
      <c r="N58" s="335"/>
      <c r="O58" s="335"/>
      <c r="P58" s="331"/>
      <c r="Q58" s="332"/>
      <c r="R58" s="191"/>
      <c r="S58" s="191"/>
      <c r="T58" s="191"/>
      <c r="U58" s="191"/>
      <c r="V58" s="191"/>
      <c r="W58" s="22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</row>
    <row r="59" spans="1:38" ht="15">
      <c r="A59" s="498" t="s">
        <v>440</v>
      </c>
      <c r="B59" s="499"/>
      <c r="C59" s="499"/>
      <c r="D59" s="499"/>
      <c r="E59" s="499"/>
      <c r="F59" s="499"/>
      <c r="G59" s="499"/>
      <c r="H59" s="499"/>
      <c r="I59" s="499"/>
      <c r="J59" s="499"/>
      <c r="K59" s="499"/>
      <c r="L59" s="499"/>
      <c r="M59" s="499"/>
      <c r="N59" s="499"/>
      <c r="O59" s="499"/>
      <c r="P59" s="331"/>
      <c r="Q59" s="334"/>
      <c r="R59" s="191"/>
      <c r="S59" s="191"/>
      <c r="T59" s="191"/>
      <c r="U59" s="191"/>
      <c r="V59" s="191"/>
      <c r="W59" s="22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</row>
    <row r="60" spans="1:38">
      <c r="A60" s="335" t="s">
        <v>407</v>
      </c>
      <c r="B60" s="335" t="s">
        <v>408</v>
      </c>
      <c r="C60" s="335" t="s">
        <v>409</v>
      </c>
      <c r="D60" s="336" t="s">
        <v>410</v>
      </c>
      <c r="E60" s="336" t="s">
        <v>411</v>
      </c>
      <c r="F60" s="336" t="s">
        <v>412</v>
      </c>
      <c r="G60" s="344" t="s">
        <v>422</v>
      </c>
      <c r="H60" s="336" t="s">
        <v>413</v>
      </c>
      <c r="I60" s="337" t="s">
        <v>163</v>
      </c>
      <c r="J60" s="338" t="s">
        <v>56</v>
      </c>
      <c r="K60" s="338" t="s">
        <v>160</v>
      </c>
      <c r="L60" s="339" t="s">
        <v>161</v>
      </c>
      <c r="M60" s="338" t="s">
        <v>162</v>
      </c>
      <c r="N60" s="338" t="s">
        <v>414</v>
      </c>
      <c r="O60" s="338" t="s">
        <v>70</v>
      </c>
      <c r="P60" s="331"/>
      <c r="Q60" s="332"/>
      <c r="R60" s="191"/>
      <c r="S60" s="191"/>
      <c r="T60" s="191"/>
      <c r="U60" s="191"/>
      <c r="V60" s="191"/>
      <c r="W60" s="22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</row>
    <row r="61" spans="1:38">
      <c r="A61" s="335" t="s">
        <v>415</v>
      </c>
      <c r="B61" s="335">
        <v>180</v>
      </c>
      <c r="C61" s="335"/>
      <c r="D61" s="336">
        <f t="shared" ref="D61:D63" si="58">(40000/30)/6</f>
        <v>222.2222222222222</v>
      </c>
      <c r="E61" s="336">
        <f t="shared" ref="E61:E63" si="59">B61*D61</f>
        <v>39999.999999999993</v>
      </c>
      <c r="F61" s="336">
        <f t="shared" ref="F61:F63" si="60">C61*D61</f>
        <v>0</v>
      </c>
      <c r="G61" s="336">
        <f t="shared" ref="G61:G63" si="61">(MAX(I26,I33,I40,I47,I54,(E61+F61))/2)</f>
        <v>23999.999999999996</v>
      </c>
      <c r="H61" s="336">
        <v>24000</v>
      </c>
      <c r="I61" s="337">
        <f t="shared" ref="I61:I63" si="62">E61+F61+G61-H61</f>
        <v>39999.999999999985</v>
      </c>
      <c r="J61" s="337">
        <v>40000</v>
      </c>
      <c r="K61" s="337"/>
      <c r="L61" s="340"/>
      <c r="M61" s="337"/>
      <c r="N61" s="337">
        <f t="shared" ref="N61:N63" si="63">SUM(J61:M61)</f>
        <v>40000</v>
      </c>
      <c r="O61" s="336">
        <f t="shared" ref="O61:O64" si="64">I61-N61</f>
        <v>0</v>
      </c>
      <c r="P61" s="331"/>
      <c r="Q61" s="332"/>
      <c r="R61" s="191"/>
      <c r="S61" s="191"/>
      <c r="T61" s="191"/>
      <c r="U61" s="191"/>
      <c r="V61" s="191"/>
      <c r="W61" s="22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</row>
    <row r="62" spans="1:38">
      <c r="A62" s="335" t="s">
        <v>416</v>
      </c>
      <c r="B62" s="335">
        <v>180</v>
      </c>
      <c r="C62" s="335"/>
      <c r="D62" s="336">
        <f t="shared" si="58"/>
        <v>222.2222222222222</v>
      </c>
      <c r="E62" s="336">
        <f t="shared" si="59"/>
        <v>39999.999999999993</v>
      </c>
      <c r="F62" s="336">
        <f t="shared" si="60"/>
        <v>0</v>
      </c>
      <c r="G62" s="336">
        <f t="shared" si="61"/>
        <v>23333.333333333328</v>
      </c>
      <c r="H62" s="336">
        <v>23340</v>
      </c>
      <c r="I62" s="337">
        <f t="shared" si="62"/>
        <v>39993.333333333321</v>
      </c>
      <c r="J62" s="337">
        <v>10000</v>
      </c>
      <c r="K62" s="337"/>
      <c r="L62" s="340">
        <f>30000</f>
        <v>30000</v>
      </c>
      <c r="M62" s="337"/>
      <c r="N62" s="337">
        <f t="shared" si="63"/>
        <v>40000</v>
      </c>
      <c r="O62" s="336">
        <f t="shared" si="64"/>
        <v>-6.6666666666787933</v>
      </c>
      <c r="P62" s="348">
        <v>44929</v>
      </c>
      <c r="Q62" s="332">
        <v>53246206304</v>
      </c>
      <c r="R62" s="191"/>
      <c r="S62" s="191"/>
      <c r="T62" s="191"/>
      <c r="U62" s="191"/>
      <c r="V62" s="191"/>
      <c r="W62" s="22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</row>
    <row r="63" spans="1:38">
      <c r="A63" s="335" t="s">
        <v>417</v>
      </c>
      <c r="B63" s="335">
        <v>180</v>
      </c>
      <c r="C63" s="335"/>
      <c r="D63" s="336">
        <f t="shared" si="58"/>
        <v>222.2222222222222</v>
      </c>
      <c r="E63" s="336">
        <f t="shared" si="59"/>
        <v>39999.999999999993</v>
      </c>
      <c r="F63" s="336">
        <f t="shared" si="60"/>
        <v>0</v>
      </c>
      <c r="G63" s="336">
        <f t="shared" si="61"/>
        <v>23333.333333333328</v>
      </c>
      <c r="H63" s="336">
        <v>23340</v>
      </c>
      <c r="I63" s="337">
        <f t="shared" si="62"/>
        <v>39993.333333333321</v>
      </c>
      <c r="J63" s="337">
        <v>10000</v>
      </c>
      <c r="K63" s="337">
        <v>30000</v>
      </c>
      <c r="L63" s="340"/>
      <c r="M63" s="337"/>
      <c r="N63" s="337">
        <f t="shared" si="63"/>
        <v>40000</v>
      </c>
      <c r="O63" s="336">
        <f t="shared" si="64"/>
        <v>-6.6666666666787933</v>
      </c>
      <c r="P63" s="348">
        <v>44929</v>
      </c>
      <c r="Q63" s="332">
        <v>13391412</v>
      </c>
      <c r="R63" s="191"/>
      <c r="S63" s="191"/>
      <c r="T63" s="191"/>
      <c r="U63" s="191"/>
      <c r="V63" s="191"/>
      <c r="W63" s="22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</row>
    <row r="64" spans="1:38">
      <c r="A64" s="335"/>
      <c r="B64" s="335"/>
      <c r="C64" s="335"/>
      <c r="D64" s="336"/>
      <c r="E64" s="336"/>
      <c r="F64" s="336"/>
      <c r="G64" s="336"/>
      <c r="H64" s="336"/>
      <c r="I64" s="341">
        <f t="shared" ref="I64:N64" si="65">SUM(I61:I63)</f>
        <v>119986.66666666663</v>
      </c>
      <c r="J64" s="341">
        <f t="shared" si="65"/>
        <v>60000</v>
      </c>
      <c r="K64" s="341">
        <f t="shared" si="65"/>
        <v>30000</v>
      </c>
      <c r="L64" s="342">
        <f t="shared" si="65"/>
        <v>30000</v>
      </c>
      <c r="M64" s="341">
        <f t="shared" si="65"/>
        <v>0</v>
      </c>
      <c r="N64" s="341">
        <f t="shared" si="65"/>
        <v>120000</v>
      </c>
      <c r="O64" s="336">
        <f t="shared" si="64"/>
        <v>-13.333333333372138</v>
      </c>
      <c r="P64" s="331"/>
      <c r="Q64" s="332"/>
      <c r="R64" s="191"/>
      <c r="S64" s="191"/>
      <c r="T64" s="191"/>
      <c r="U64" s="191"/>
      <c r="V64" s="191"/>
      <c r="W64" s="22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</row>
    <row r="65" spans="1:38" ht="15">
      <c r="A65" s="335"/>
      <c r="B65" s="335"/>
      <c r="C65" s="335"/>
      <c r="D65" s="336"/>
      <c r="E65" s="336"/>
      <c r="F65" s="336"/>
      <c r="G65" s="336"/>
      <c r="H65" s="336"/>
      <c r="I65" s="336"/>
      <c r="J65" s="336"/>
      <c r="K65" s="336"/>
      <c r="L65" s="343"/>
      <c r="M65" s="335"/>
      <c r="N65" s="335"/>
      <c r="O65" s="335"/>
      <c r="P65" s="331"/>
      <c r="Q65" s="332"/>
      <c r="R65" s="191"/>
      <c r="S65" s="191"/>
      <c r="T65" s="191"/>
      <c r="U65" s="191"/>
      <c r="V65" s="191"/>
      <c r="W65" s="22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</row>
    <row r="66" spans="1:38" ht="15">
      <c r="A66" s="498" t="s">
        <v>441</v>
      </c>
      <c r="B66" s="499"/>
      <c r="C66" s="499"/>
      <c r="D66" s="499"/>
      <c r="E66" s="499"/>
      <c r="F66" s="499"/>
      <c r="G66" s="499"/>
      <c r="H66" s="499"/>
      <c r="I66" s="499"/>
      <c r="J66" s="499"/>
      <c r="K66" s="499"/>
      <c r="L66" s="499"/>
      <c r="M66" s="499"/>
      <c r="N66" s="499"/>
      <c r="O66" s="499"/>
      <c r="P66" s="331"/>
      <c r="Q66" s="334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</row>
    <row r="67" spans="1:38">
      <c r="A67" s="335" t="s">
        <v>407</v>
      </c>
      <c r="B67" s="335" t="s">
        <v>408</v>
      </c>
      <c r="C67" s="335" t="s">
        <v>409</v>
      </c>
      <c r="D67" s="336" t="s">
        <v>410</v>
      </c>
      <c r="E67" s="336" t="s">
        <v>411</v>
      </c>
      <c r="F67" s="336" t="s">
        <v>412</v>
      </c>
      <c r="G67" s="336"/>
      <c r="H67" s="336" t="s">
        <v>413</v>
      </c>
      <c r="I67" s="337" t="s">
        <v>163</v>
      </c>
      <c r="J67" s="337" t="s">
        <v>56</v>
      </c>
      <c r="K67" s="337" t="s">
        <v>160</v>
      </c>
      <c r="L67" s="340" t="s">
        <v>161</v>
      </c>
      <c r="M67" s="337" t="s">
        <v>162</v>
      </c>
      <c r="N67" s="337" t="s">
        <v>414</v>
      </c>
      <c r="O67" s="338" t="s">
        <v>70</v>
      </c>
      <c r="P67" s="331"/>
      <c r="Q67" s="332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</row>
    <row r="68" spans="1:38">
      <c r="A68" s="335" t="s">
        <v>415</v>
      </c>
      <c r="B68" s="335">
        <v>180</v>
      </c>
      <c r="C68" s="335"/>
      <c r="D68" s="336">
        <f t="shared" ref="D68:D70" si="66">(60000/30)/6</f>
        <v>333.33333333333331</v>
      </c>
      <c r="E68" s="336">
        <f t="shared" ref="E68:E70" si="67">B68*D68</f>
        <v>60000</v>
      </c>
      <c r="F68" s="336">
        <f t="shared" ref="F68:F70" si="68">C68*D68</f>
        <v>0</v>
      </c>
      <c r="G68" s="336"/>
      <c r="H68" s="336"/>
      <c r="I68" s="337">
        <f t="shared" ref="I68:I70" si="69">E68+F68-H68</f>
        <v>60000</v>
      </c>
      <c r="J68" s="337">
        <v>45210</v>
      </c>
      <c r="K68" s="337"/>
      <c r="L68" s="340">
        <f>2710+7580+4500</f>
        <v>14790</v>
      </c>
      <c r="M68" s="337"/>
      <c r="N68" s="337">
        <f t="shared" ref="N68:N70" si="70">SUM(J68:M68)</f>
        <v>60000</v>
      </c>
      <c r="O68" s="336">
        <f t="shared" ref="O68:O71" si="71">I68-N68</f>
        <v>0</v>
      </c>
      <c r="P68" s="332" t="s">
        <v>442</v>
      </c>
      <c r="Q68" s="332" t="s">
        <v>443</v>
      </c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</row>
    <row r="69" spans="1:38">
      <c r="A69" s="335" t="s">
        <v>416</v>
      </c>
      <c r="B69" s="335">
        <v>180</v>
      </c>
      <c r="C69" s="335"/>
      <c r="D69" s="336">
        <f t="shared" si="66"/>
        <v>333.33333333333331</v>
      </c>
      <c r="E69" s="336">
        <f t="shared" si="67"/>
        <v>60000</v>
      </c>
      <c r="F69" s="336">
        <f t="shared" si="68"/>
        <v>0</v>
      </c>
      <c r="G69" s="336"/>
      <c r="H69" s="336"/>
      <c r="I69" s="337">
        <f t="shared" si="69"/>
        <v>60000</v>
      </c>
      <c r="J69" s="337">
        <v>40000</v>
      </c>
      <c r="K69" s="337"/>
      <c r="L69" s="340">
        <v>20000</v>
      </c>
      <c r="M69" s="337"/>
      <c r="N69" s="337">
        <f t="shared" si="70"/>
        <v>60000</v>
      </c>
      <c r="O69" s="336">
        <f t="shared" si="71"/>
        <v>0</v>
      </c>
      <c r="P69" s="331"/>
      <c r="Q69" s="332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</row>
    <row r="70" spans="1:38">
      <c r="A70" s="335" t="s">
        <v>417</v>
      </c>
      <c r="B70" s="335">
        <v>180</v>
      </c>
      <c r="C70" s="335"/>
      <c r="D70" s="336">
        <f t="shared" si="66"/>
        <v>333.33333333333331</v>
      </c>
      <c r="E70" s="336">
        <f t="shared" si="67"/>
        <v>60000</v>
      </c>
      <c r="F70" s="336">
        <f t="shared" si="68"/>
        <v>0</v>
      </c>
      <c r="G70" s="336"/>
      <c r="H70" s="336"/>
      <c r="I70" s="337">
        <f t="shared" si="69"/>
        <v>60000</v>
      </c>
      <c r="J70" s="337">
        <v>60000</v>
      </c>
      <c r="K70" s="337"/>
      <c r="L70" s="340"/>
      <c r="M70" s="337"/>
      <c r="N70" s="337">
        <f t="shared" si="70"/>
        <v>60000</v>
      </c>
      <c r="O70" s="336">
        <f t="shared" si="71"/>
        <v>0</v>
      </c>
      <c r="P70" s="331"/>
      <c r="Q70" s="332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</row>
    <row r="71" spans="1:38">
      <c r="A71" s="335"/>
      <c r="B71" s="335"/>
      <c r="C71" s="335"/>
      <c r="D71" s="336"/>
      <c r="E71" s="336"/>
      <c r="F71" s="336"/>
      <c r="G71" s="336"/>
      <c r="H71" s="336"/>
      <c r="I71" s="341">
        <f t="shared" ref="I71:N71" si="72">SUM(I68:I70)</f>
        <v>180000</v>
      </c>
      <c r="J71" s="341">
        <f t="shared" si="72"/>
        <v>145210</v>
      </c>
      <c r="K71" s="341">
        <f t="shared" si="72"/>
        <v>0</v>
      </c>
      <c r="L71" s="342">
        <f t="shared" si="72"/>
        <v>34790</v>
      </c>
      <c r="M71" s="341">
        <f t="shared" si="72"/>
        <v>0</v>
      </c>
      <c r="N71" s="341">
        <f t="shared" si="72"/>
        <v>180000</v>
      </c>
      <c r="O71" s="336">
        <f t="shared" si="71"/>
        <v>0</v>
      </c>
      <c r="P71" s="331"/>
      <c r="Q71" s="332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</row>
    <row r="72" spans="1:38" ht="15">
      <c r="A72" s="335"/>
      <c r="B72" s="335"/>
      <c r="C72" s="335"/>
      <c r="D72" s="336"/>
      <c r="E72" s="336"/>
      <c r="F72" s="336"/>
      <c r="G72" s="336"/>
      <c r="H72" s="336"/>
      <c r="I72" s="336"/>
      <c r="J72" s="336"/>
      <c r="K72" s="336"/>
      <c r="L72" s="343"/>
      <c r="M72" s="335"/>
      <c r="N72" s="335"/>
      <c r="O72" s="335"/>
      <c r="P72" s="331"/>
      <c r="Q72" s="332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</row>
    <row r="73" spans="1:38" ht="15">
      <c r="A73" s="498" t="s">
        <v>444</v>
      </c>
      <c r="B73" s="499"/>
      <c r="C73" s="499"/>
      <c r="D73" s="499"/>
      <c r="E73" s="499"/>
      <c r="F73" s="499"/>
      <c r="G73" s="499"/>
      <c r="H73" s="499"/>
      <c r="I73" s="499"/>
      <c r="J73" s="499"/>
      <c r="K73" s="499"/>
      <c r="L73" s="499"/>
      <c r="M73" s="499"/>
      <c r="N73" s="499"/>
      <c r="O73" s="499"/>
      <c r="P73" s="331"/>
      <c r="Q73" s="334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</row>
    <row r="74" spans="1:38">
      <c r="A74" s="335" t="s">
        <v>407</v>
      </c>
      <c r="B74" s="335" t="s">
        <v>408</v>
      </c>
      <c r="C74" s="335" t="s">
        <v>409</v>
      </c>
      <c r="D74" s="336" t="s">
        <v>410</v>
      </c>
      <c r="E74" s="336" t="s">
        <v>411</v>
      </c>
      <c r="F74" s="336" t="s">
        <v>412</v>
      </c>
      <c r="G74" s="336"/>
      <c r="H74" s="336" t="s">
        <v>413</v>
      </c>
      <c r="I74" s="337" t="s">
        <v>163</v>
      </c>
      <c r="J74" s="337" t="s">
        <v>56</v>
      </c>
      <c r="K74" s="337" t="s">
        <v>160</v>
      </c>
      <c r="L74" s="340" t="s">
        <v>161</v>
      </c>
      <c r="M74" s="337" t="s">
        <v>162</v>
      </c>
      <c r="N74" s="337" t="s">
        <v>414</v>
      </c>
      <c r="O74" s="338" t="s">
        <v>70</v>
      </c>
      <c r="P74" s="331"/>
      <c r="Q74" s="332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</row>
    <row r="75" spans="1:38">
      <c r="A75" s="335" t="s">
        <v>415</v>
      </c>
      <c r="B75" s="335">
        <v>180</v>
      </c>
      <c r="C75" s="335">
        <v>24</v>
      </c>
      <c r="D75" s="336">
        <v>333.33</v>
      </c>
      <c r="E75" s="336">
        <f t="shared" ref="E75:E78" si="73">B75*D75</f>
        <v>59999.399999999994</v>
      </c>
      <c r="F75" s="336">
        <f t="shared" ref="F75:F78" si="74">C75*D75</f>
        <v>7999.92</v>
      </c>
      <c r="G75" s="336"/>
      <c r="H75" s="336"/>
      <c r="I75" s="337">
        <f t="shared" ref="I75:I78" si="75">E75+F75-H75</f>
        <v>67999.319999999992</v>
      </c>
      <c r="J75" s="337">
        <v>53500</v>
      </c>
      <c r="K75" s="337"/>
      <c r="L75" s="340">
        <f>4500+5000+5000</f>
        <v>14500</v>
      </c>
      <c r="M75" s="337"/>
      <c r="N75" s="337">
        <f t="shared" ref="N75:N78" si="76">SUM(J75:M75)</f>
        <v>68000</v>
      </c>
      <c r="O75" s="336">
        <f t="shared" ref="O75:O79" si="77">I75-N75</f>
        <v>-0.680000000007567</v>
      </c>
      <c r="P75" s="331"/>
      <c r="Q75" s="332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</row>
    <row r="76" spans="1:38">
      <c r="A76" s="335" t="s">
        <v>445</v>
      </c>
      <c r="B76" s="335">
        <v>48</v>
      </c>
      <c r="C76" s="335"/>
      <c r="D76" s="336">
        <v>333.33</v>
      </c>
      <c r="E76" s="336">
        <f t="shared" si="73"/>
        <v>15999.84</v>
      </c>
      <c r="F76" s="336">
        <f t="shared" si="74"/>
        <v>0</v>
      </c>
      <c r="G76" s="336"/>
      <c r="H76" s="336"/>
      <c r="I76" s="337">
        <f t="shared" si="75"/>
        <v>15999.84</v>
      </c>
      <c r="J76" s="337">
        <v>16000</v>
      </c>
      <c r="K76" s="337"/>
      <c r="L76" s="340"/>
      <c r="M76" s="337"/>
      <c r="N76" s="337">
        <f t="shared" si="76"/>
        <v>16000</v>
      </c>
      <c r="O76" s="336">
        <f t="shared" si="77"/>
        <v>-0.15999999999985448</v>
      </c>
      <c r="P76" s="331"/>
      <c r="Q76" s="332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</row>
    <row r="77" spans="1:38">
      <c r="A77" s="335" t="s">
        <v>416</v>
      </c>
      <c r="B77" s="335">
        <v>180</v>
      </c>
      <c r="C77" s="335">
        <v>24</v>
      </c>
      <c r="D77" s="336">
        <v>333.33</v>
      </c>
      <c r="E77" s="336">
        <f t="shared" si="73"/>
        <v>59999.399999999994</v>
      </c>
      <c r="F77" s="336">
        <f t="shared" si="74"/>
        <v>7999.92</v>
      </c>
      <c r="G77" s="336"/>
      <c r="H77" s="336"/>
      <c r="I77" s="337">
        <f t="shared" si="75"/>
        <v>67999.319999999992</v>
      </c>
      <c r="J77" s="337">
        <v>68000</v>
      </c>
      <c r="K77" s="337"/>
      <c r="L77" s="340"/>
      <c r="M77" s="337"/>
      <c r="N77" s="337">
        <f t="shared" si="76"/>
        <v>68000</v>
      </c>
      <c r="O77" s="336">
        <f t="shared" si="77"/>
        <v>-0.680000000007567</v>
      </c>
      <c r="P77" s="331"/>
      <c r="Q77" s="332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</row>
    <row r="78" spans="1:38">
      <c r="A78" s="335" t="s">
        <v>417</v>
      </c>
      <c r="B78" s="335">
        <v>180</v>
      </c>
      <c r="C78" s="335">
        <v>24</v>
      </c>
      <c r="D78" s="336">
        <v>333.33</v>
      </c>
      <c r="E78" s="336">
        <f t="shared" si="73"/>
        <v>59999.399999999994</v>
      </c>
      <c r="F78" s="336">
        <f t="shared" si="74"/>
        <v>7999.92</v>
      </c>
      <c r="G78" s="336"/>
      <c r="H78" s="336"/>
      <c r="I78" s="337">
        <f t="shared" si="75"/>
        <v>67999.319999999992</v>
      </c>
      <c r="J78" s="337">
        <v>68000</v>
      </c>
      <c r="K78" s="337"/>
      <c r="L78" s="340"/>
      <c r="M78" s="337"/>
      <c r="N78" s="337">
        <f t="shared" si="76"/>
        <v>68000</v>
      </c>
      <c r="O78" s="336">
        <f t="shared" si="77"/>
        <v>-0.680000000007567</v>
      </c>
      <c r="P78" s="331"/>
      <c r="Q78" s="332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</row>
    <row r="79" spans="1:38">
      <c r="A79" s="335"/>
      <c r="B79" s="335"/>
      <c r="C79" s="335"/>
      <c r="D79" s="336"/>
      <c r="E79" s="336"/>
      <c r="F79" s="336"/>
      <c r="G79" s="336"/>
      <c r="H79" s="336"/>
      <c r="I79" s="341">
        <f t="shared" ref="I79:N79" si="78">SUM(I75:I78)</f>
        <v>219997.8</v>
      </c>
      <c r="J79" s="341">
        <f t="shared" si="78"/>
        <v>205500</v>
      </c>
      <c r="K79" s="341">
        <f t="shared" si="78"/>
        <v>0</v>
      </c>
      <c r="L79" s="342">
        <f t="shared" si="78"/>
        <v>14500</v>
      </c>
      <c r="M79" s="341">
        <f t="shared" si="78"/>
        <v>0</v>
      </c>
      <c r="N79" s="341">
        <f t="shared" si="78"/>
        <v>220000</v>
      </c>
      <c r="O79" s="336">
        <f t="shared" si="77"/>
        <v>-2.2000000000116415</v>
      </c>
      <c r="P79" s="331"/>
      <c r="Q79" s="332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</row>
    <row r="80" spans="1:38" ht="15">
      <c r="A80" s="335"/>
      <c r="B80" s="335"/>
      <c r="C80" s="335"/>
      <c r="D80" s="336"/>
      <c r="E80" s="336"/>
      <c r="F80" s="336"/>
      <c r="G80" s="336"/>
      <c r="H80" s="336"/>
      <c r="I80" s="336"/>
      <c r="J80" s="336"/>
      <c r="K80" s="336"/>
      <c r="L80" s="343"/>
      <c r="M80" s="335"/>
      <c r="N80" s="335"/>
      <c r="O80" s="335"/>
      <c r="P80" s="331"/>
      <c r="Q80" s="332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</row>
    <row r="81" spans="1:38" ht="15">
      <c r="A81" s="498" t="s">
        <v>446</v>
      </c>
      <c r="B81" s="499"/>
      <c r="C81" s="499"/>
      <c r="D81" s="499"/>
      <c r="E81" s="499"/>
      <c r="F81" s="499"/>
      <c r="G81" s="499"/>
      <c r="H81" s="499"/>
      <c r="I81" s="499"/>
      <c r="J81" s="499"/>
      <c r="K81" s="499"/>
      <c r="L81" s="499"/>
      <c r="M81" s="499"/>
      <c r="N81" s="499"/>
      <c r="O81" s="499"/>
      <c r="P81" s="331"/>
      <c r="Q81" s="334"/>
      <c r="R81" s="191"/>
      <c r="S81" s="191"/>
      <c r="T81" s="191"/>
      <c r="U81" s="191"/>
      <c r="V81" s="191"/>
      <c r="W81" s="22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</row>
    <row r="82" spans="1:38">
      <c r="A82" s="335" t="s">
        <v>407</v>
      </c>
      <c r="B82" s="335" t="s">
        <v>408</v>
      </c>
      <c r="C82" s="335" t="s">
        <v>409</v>
      </c>
      <c r="D82" s="336" t="s">
        <v>410</v>
      </c>
      <c r="E82" s="336" t="s">
        <v>411</v>
      </c>
      <c r="F82" s="336" t="s">
        <v>412</v>
      </c>
      <c r="G82" s="336"/>
      <c r="H82" s="336" t="s">
        <v>413</v>
      </c>
      <c r="I82" s="337" t="s">
        <v>163</v>
      </c>
      <c r="J82" s="337" t="s">
        <v>56</v>
      </c>
      <c r="K82" s="337" t="s">
        <v>160</v>
      </c>
      <c r="L82" s="340" t="s">
        <v>161</v>
      </c>
      <c r="M82" s="337" t="s">
        <v>162</v>
      </c>
      <c r="N82" s="337" t="s">
        <v>414</v>
      </c>
      <c r="O82" s="338" t="s">
        <v>70</v>
      </c>
      <c r="P82" s="331"/>
      <c r="Q82" s="332"/>
      <c r="R82" s="191"/>
      <c r="S82" s="191"/>
      <c r="T82" s="191"/>
      <c r="U82" s="191"/>
      <c r="V82" s="191"/>
      <c r="W82" s="22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</row>
    <row r="83" spans="1:38">
      <c r="A83" s="335" t="s">
        <v>415</v>
      </c>
      <c r="B83" s="335"/>
      <c r="C83" s="335"/>
      <c r="D83" s="336">
        <f t="shared" ref="D83:D85" si="79">(40000/30)/6</f>
        <v>222.2222222222222</v>
      </c>
      <c r="E83" s="336">
        <f t="shared" ref="E83:E85" si="80">B83*D83</f>
        <v>0</v>
      </c>
      <c r="F83" s="336">
        <f t="shared" ref="F83:F85" si="81">C83*D83</f>
        <v>0</v>
      </c>
      <c r="G83" s="336"/>
      <c r="H83" s="336"/>
      <c r="I83" s="337">
        <f t="shared" ref="I83:I85" si="82">E83+F83-H83</f>
        <v>0</v>
      </c>
      <c r="J83" s="337"/>
      <c r="K83" s="337"/>
      <c r="L83" s="340"/>
      <c r="M83" s="337"/>
      <c r="N83" s="337">
        <f t="shared" ref="N83:N85" si="83">SUM(J83:M83)</f>
        <v>0</v>
      </c>
      <c r="O83" s="336">
        <f t="shared" ref="O83:O86" si="84">I83-N83</f>
        <v>0</v>
      </c>
      <c r="P83" s="331"/>
      <c r="Q83" s="332"/>
      <c r="R83" s="191"/>
      <c r="S83" s="191"/>
      <c r="T83" s="191"/>
      <c r="U83" s="191"/>
      <c r="V83" s="191"/>
      <c r="W83" s="22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</row>
    <row r="84" spans="1:38">
      <c r="A84" s="335" t="s">
        <v>416</v>
      </c>
      <c r="B84" s="335"/>
      <c r="C84" s="335"/>
      <c r="D84" s="336">
        <f t="shared" si="79"/>
        <v>222.2222222222222</v>
      </c>
      <c r="E84" s="336">
        <f t="shared" si="80"/>
        <v>0</v>
      </c>
      <c r="F84" s="336">
        <f t="shared" si="81"/>
        <v>0</v>
      </c>
      <c r="G84" s="336"/>
      <c r="H84" s="336"/>
      <c r="I84" s="337">
        <f t="shared" si="82"/>
        <v>0</v>
      </c>
      <c r="J84" s="337"/>
      <c r="K84" s="337"/>
      <c r="L84" s="340"/>
      <c r="M84" s="337"/>
      <c r="N84" s="337">
        <f t="shared" si="83"/>
        <v>0</v>
      </c>
      <c r="O84" s="336">
        <f t="shared" si="84"/>
        <v>0</v>
      </c>
      <c r="P84" s="331"/>
      <c r="Q84" s="332"/>
      <c r="R84" s="191"/>
      <c r="S84" s="191"/>
      <c r="T84" s="191"/>
      <c r="U84" s="191"/>
      <c r="V84" s="191"/>
      <c r="W84" s="22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</row>
    <row r="85" spans="1:38">
      <c r="A85" s="335" t="s">
        <v>417</v>
      </c>
      <c r="B85" s="335"/>
      <c r="C85" s="335"/>
      <c r="D85" s="336">
        <f t="shared" si="79"/>
        <v>222.2222222222222</v>
      </c>
      <c r="E85" s="336">
        <f t="shared" si="80"/>
        <v>0</v>
      </c>
      <c r="F85" s="336">
        <f t="shared" si="81"/>
        <v>0</v>
      </c>
      <c r="G85" s="336"/>
      <c r="H85" s="336"/>
      <c r="I85" s="337">
        <f t="shared" si="82"/>
        <v>0</v>
      </c>
      <c r="J85" s="337"/>
      <c r="K85" s="337"/>
      <c r="L85" s="340"/>
      <c r="M85" s="337"/>
      <c r="N85" s="337">
        <f t="shared" si="83"/>
        <v>0</v>
      </c>
      <c r="O85" s="336">
        <f t="shared" si="84"/>
        <v>0</v>
      </c>
      <c r="P85" s="331"/>
      <c r="Q85" s="332"/>
      <c r="R85" s="191"/>
      <c r="S85" s="191"/>
      <c r="T85" s="191"/>
      <c r="U85" s="191"/>
      <c r="V85" s="191"/>
      <c r="W85" s="22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</row>
    <row r="86" spans="1:38" ht="15">
      <c r="A86" s="335"/>
      <c r="B86" s="335"/>
      <c r="C86" s="335"/>
      <c r="D86" s="336"/>
      <c r="E86" s="336"/>
      <c r="F86" s="336"/>
      <c r="G86" s="336"/>
      <c r="H86" s="336"/>
      <c r="I86" s="341">
        <f t="shared" ref="I86:N86" si="85">SUM(I83:I85)</f>
        <v>0</v>
      </c>
      <c r="J86" s="341">
        <f t="shared" si="85"/>
        <v>0</v>
      </c>
      <c r="K86" s="341">
        <f t="shared" si="85"/>
        <v>0</v>
      </c>
      <c r="L86" s="342">
        <f t="shared" si="85"/>
        <v>0</v>
      </c>
      <c r="M86" s="341">
        <f t="shared" si="85"/>
        <v>0</v>
      </c>
      <c r="N86" s="341">
        <f t="shared" si="85"/>
        <v>0</v>
      </c>
      <c r="O86" s="336">
        <f t="shared" si="84"/>
        <v>0</v>
      </c>
      <c r="P86" s="331"/>
      <c r="Q86" s="332"/>
      <c r="W86" s="60"/>
    </row>
    <row r="87" spans="1:38" ht="15">
      <c r="A87" s="335"/>
      <c r="B87" s="335"/>
      <c r="C87" s="335"/>
      <c r="D87" s="336"/>
      <c r="E87" s="336"/>
      <c r="F87" s="336"/>
      <c r="G87" s="336"/>
      <c r="H87" s="336"/>
      <c r="I87" s="336"/>
      <c r="J87" s="336"/>
      <c r="K87" s="336"/>
      <c r="L87" s="343"/>
      <c r="M87" s="335"/>
      <c r="N87" s="335"/>
      <c r="O87" s="335"/>
      <c r="P87" s="331"/>
      <c r="Q87" s="332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</row>
    <row r="88" spans="1:38" ht="14.25">
      <c r="A88" s="335"/>
      <c r="B88" s="335"/>
      <c r="C88" s="335"/>
      <c r="D88" s="336"/>
      <c r="E88" s="336"/>
      <c r="F88" s="336"/>
      <c r="G88" s="336"/>
      <c r="H88" s="336"/>
      <c r="I88" s="336"/>
      <c r="J88" s="336"/>
      <c r="K88" s="336"/>
      <c r="L88" s="343"/>
      <c r="M88" s="335"/>
      <c r="N88" s="335"/>
      <c r="O88" s="335"/>
      <c r="P88" s="331"/>
      <c r="Q88" s="332"/>
      <c r="W88" s="60"/>
    </row>
    <row r="89" spans="1:38" ht="14.25">
      <c r="A89" s="335"/>
      <c r="B89" s="335"/>
      <c r="C89" s="335"/>
      <c r="D89" s="336"/>
      <c r="E89" s="336"/>
      <c r="F89" s="336"/>
      <c r="G89" s="336"/>
      <c r="H89" s="336"/>
      <c r="I89" s="336"/>
      <c r="J89" s="336"/>
      <c r="K89" s="336"/>
      <c r="L89" s="343"/>
      <c r="M89" s="335"/>
      <c r="N89" s="335"/>
      <c r="O89" s="335"/>
      <c r="P89" s="331"/>
      <c r="Q89" s="332"/>
      <c r="W89" s="60"/>
    </row>
    <row r="90" spans="1:38" ht="14.25">
      <c r="A90" s="335"/>
      <c r="B90" s="335"/>
      <c r="C90" s="335"/>
      <c r="D90" s="336"/>
      <c r="E90" s="336"/>
      <c r="F90" s="336"/>
      <c r="G90" s="336"/>
      <c r="H90" s="336"/>
      <c r="I90" s="336"/>
      <c r="J90" s="336"/>
      <c r="K90" s="336"/>
      <c r="L90" s="343"/>
      <c r="M90" s="335"/>
      <c r="N90" s="335"/>
      <c r="O90" s="335"/>
      <c r="P90" s="331"/>
      <c r="Q90" s="332"/>
      <c r="W90" s="60"/>
    </row>
    <row r="91" spans="1:38" ht="14.25">
      <c r="A91" s="335"/>
      <c r="B91" s="335"/>
      <c r="C91" s="335"/>
      <c r="D91" s="336"/>
      <c r="E91" s="336"/>
      <c r="F91" s="336"/>
      <c r="G91" s="336"/>
      <c r="H91" s="336"/>
      <c r="I91" s="336"/>
      <c r="J91" s="336"/>
      <c r="K91" s="336"/>
      <c r="L91" s="343"/>
      <c r="M91" s="335"/>
      <c r="N91" s="335"/>
      <c r="O91" s="335"/>
      <c r="P91" s="331"/>
      <c r="Q91" s="332"/>
      <c r="W91" s="60"/>
    </row>
    <row r="92" spans="1:38" ht="14.25">
      <c r="A92" s="335"/>
      <c r="B92" s="335"/>
      <c r="C92" s="335"/>
      <c r="D92" s="336"/>
      <c r="E92" s="336"/>
      <c r="F92" s="336"/>
      <c r="G92" s="336"/>
      <c r="H92" s="336"/>
      <c r="I92" s="336"/>
      <c r="J92" s="336"/>
      <c r="K92" s="336"/>
      <c r="L92" s="343"/>
      <c r="M92" s="335"/>
      <c r="N92" s="335"/>
      <c r="O92" s="335"/>
      <c r="P92" s="331"/>
      <c r="Q92" s="332"/>
      <c r="W92" s="60"/>
    </row>
    <row r="93" spans="1:38" ht="14.25">
      <c r="A93" s="335"/>
      <c r="B93" s="335"/>
      <c r="C93" s="335"/>
      <c r="D93" s="336"/>
      <c r="E93" s="336"/>
      <c r="F93" s="336"/>
      <c r="G93" s="336"/>
      <c r="H93" s="336"/>
      <c r="I93" s="336"/>
      <c r="J93" s="336"/>
      <c r="K93" s="336"/>
      <c r="L93" s="343"/>
      <c r="M93" s="335"/>
      <c r="N93" s="335"/>
      <c r="O93" s="335"/>
      <c r="P93" s="331"/>
      <c r="Q93" s="332"/>
      <c r="W93" s="60"/>
    </row>
    <row r="94" spans="1:38" ht="14.25">
      <c r="A94" s="335"/>
      <c r="B94" s="335"/>
      <c r="C94" s="335"/>
      <c r="D94" s="336"/>
      <c r="E94" s="336"/>
      <c r="F94" s="336"/>
      <c r="G94" s="336"/>
      <c r="H94" s="336"/>
      <c r="I94" s="336"/>
      <c r="J94" s="336"/>
      <c r="K94" s="336"/>
      <c r="L94" s="343"/>
      <c r="M94" s="335"/>
      <c r="N94" s="335"/>
      <c r="O94" s="335"/>
      <c r="P94" s="331"/>
      <c r="Q94" s="332"/>
      <c r="W94" s="60"/>
    </row>
    <row r="95" spans="1:38" ht="14.25">
      <c r="A95" s="335"/>
      <c r="B95" s="335"/>
      <c r="C95" s="335"/>
      <c r="D95" s="336"/>
      <c r="E95" s="336"/>
      <c r="F95" s="336"/>
      <c r="G95" s="336"/>
      <c r="H95" s="336"/>
      <c r="I95" s="336"/>
      <c r="J95" s="336"/>
      <c r="K95" s="336"/>
      <c r="L95" s="343"/>
      <c r="M95" s="335"/>
      <c r="N95" s="335"/>
      <c r="O95" s="335"/>
      <c r="P95" s="331"/>
      <c r="Q95" s="332"/>
      <c r="W95" s="60"/>
    </row>
    <row r="96" spans="1:38" ht="14.25">
      <c r="A96" s="335"/>
      <c r="B96" s="335"/>
      <c r="C96" s="335"/>
      <c r="D96" s="336"/>
      <c r="E96" s="336"/>
      <c r="F96" s="336"/>
      <c r="G96" s="336"/>
      <c r="H96" s="336"/>
      <c r="I96" s="336"/>
      <c r="J96" s="336"/>
      <c r="K96" s="336"/>
      <c r="L96" s="343"/>
      <c r="M96" s="335"/>
      <c r="N96" s="335"/>
      <c r="O96" s="335"/>
      <c r="P96" s="331"/>
      <c r="Q96" s="332"/>
      <c r="W96" s="60"/>
    </row>
    <row r="97" spans="1:23" ht="14.25">
      <c r="A97" s="335"/>
      <c r="B97" s="335"/>
      <c r="C97" s="335"/>
      <c r="D97" s="336"/>
      <c r="E97" s="336"/>
      <c r="F97" s="336"/>
      <c r="G97" s="336"/>
      <c r="H97" s="336"/>
      <c r="I97" s="336"/>
      <c r="J97" s="336"/>
      <c r="K97" s="336"/>
      <c r="L97" s="343"/>
      <c r="M97" s="335"/>
      <c r="N97" s="335"/>
      <c r="O97" s="335"/>
      <c r="P97" s="331"/>
      <c r="Q97" s="332"/>
      <c r="W97" s="60"/>
    </row>
    <row r="98" spans="1:23" ht="14.25">
      <c r="A98" s="335"/>
      <c r="B98" s="335"/>
      <c r="C98" s="335"/>
      <c r="D98" s="336"/>
      <c r="E98" s="336"/>
      <c r="F98" s="336"/>
      <c r="G98" s="336"/>
      <c r="H98" s="336"/>
      <c r="I98" s="336"/>
      <c r="J98" s="336"/>
      <c r="K98" s="336"/>
      <c r="L98" s="343"/>
      <c r="M98" s="335"/>
      <c r="N98" s="335"/>
      <c r="O98" s="335"/>
      <c r="P98" s="331"/>
      <c r="Q98" s="332"/>
      <c r="W98" s="60"/>
    </row>
    <row r="99" spans="1:23" ht="14.25">
      <c r="A99" s="335"/>
      <c r="B99" s="335"/>
      <c r="C99" s="335"/>
      <c r="D99" s="336"/>
      <c r="E99" s="336"/>
      <c r="F99" s="336"/>
      <c r="G99" s="336"/>
      <c r="H99" s="336"/>
      <c r="I99" s="336"/>
      <c r="J99" s="336"/>
      <c r="K99" s="336"/>
      <c r="L99" s="343"/>
      <c r="M99" s="335"/>
      <c r="N99" s="335"/>
      <c r="O99" s="335"/>
      <c r="P99" s="331"/>
      <c r="Q99" s="332"/>
      <c r="W99" s="60"/>
    </row>
    <row r="100" spans="1:23" ht="14.25">
      <c r="A100" s="335"/>
      <c r="B100" s="335"/>
      <c r="C100" s="335"/>
      <c r="D100" s="336"/>
      <c r="E100" s="336"/>
      <c r="F100" s="336"/>
      <c r="G100" s="336"/>
      <c r="H100" s="336"/>
      <c r="I100" s="336"/>
      <c r="J100" s="336"/>
      <c r="K100" s="336"/>
      <c r="L100" s="343"/>
      <c r="M100" s="335"/>
      <c r="N100" s="335"/>
      <c r="O100" s="335"/>
      <c r="P100" s="331"/>
      <c r="Q100" s="332"/>
      <c r="W100" s="60"/>
    </row>
    <row r="101" spans="1:23" ht="14.25">
      <c r="A101" s="335"/>
      <c r="B101" s="335"/>
      <c r="C101" s="335"/>
      <c r="D101" s="336"/>
      <c r="E101" s="336"/>
      <c r="F101" s="336"/>
      <c r="G101" s="336"/>
      <c r="H101" s="336"/>
      <c r="I101" s="336"/>
      <c r="J101" s="336"/>
      <c r="K101" s="336"/>
      <c r="L101" s="343"/>
      <c r="M101" s="335"/>
      <c r="N101" s="335"/>
      <c r="O101" s="335"/>
      <c r="P101" s="331"/>
      <c r="Q101" s="332"/>
      <c r="W101" s="60"/>
    </row>
    <row r="102" spans="1:23" ht="14.25">
      <c r="A102" s="335"/>
      <c r="B102" s="335"/>
      <c r="C102" s="335"/>
      <c r="D102" s="336"/>
      <c r="E102" s="336"/>
      <c r="F102" s="336"/>
      <c r="G102" s="336"/>
      <c r="H102" s="336"/>
      <c r="I102" s="336"/>
      <c r="J102" s="336"/>
      <c r="K102" s="336"/>
      <c r="L102" s="343"/>
      <c r="M102" s="335"/>
      <c r="N102" s="335"/>
      <c r="O102" s="335"/>
      <c r="P102" s="331"/>
      <c r="Q102" s="332"/>
      <c r="W102" s="60"/>
    </row>
    <row r="103" spans="1:23" ht="14.25">
      <c r="A103" s="335"/>
      <c r="B103" s="335"/>
      <c r="C103" s="335"/>
      <c r="D103" s="336"/>
      <c r="E103" s="336"/>
      <c r="F103" s="336"/>
      <c r="G103" s="336"/>
      <c r="H103" s="336"/>
      <c r="I103" s="336"/>
      <c r="J103" s="336"/>
      <c r="K103" s="336"/>
      <c r="L103" s="343"/>
      <c r="M103" s="335"/>
      <c r="N103" s="335"/>
      <c r="O103" s="335"/>
      <c r="P103" s="331"/>
      <c r="Q103" s="332"/>
      <c r="W103" s="60"/>
    </row>
    <row r="104" spans="1:23" ht="14.25">
      <c r="A104" s="335"/>
      <c r="B104" s="335"/>
      <c r="C104" s="335"/>
      <c r="D104" s="336"/>
      <c r="E104" s="336"/>
      <c r="F104" s="336"/>
      <c r="G104" s="336"/>
      <c r="H104" s="336"/>
      <c r="I104" s="336"/>
      <c r="J104" s="336"/>
      <c r="K104" s="336"/>
      <c r="L104" s="343"/>
      <c r="M104" s="335"/>
      <c r="N104" s="335"/>
      <c r="O104" s="335"/>
      <c r="P104" s="331"/>
      <c r="Q104" s="332"/>
      <c r="W104" s="60"/>
    </row>
    <row r="105" spans="1:23" ht="14.25">
      <c r="A105" s="335"/>
      <c r="B105" s="335"/>
      <c r="C105" s="335"/>
      <c r="D105" s="336"/>
      <c r="E105" s="336"/>
      <c r="F105" s="336"/>
      <c r="G105" s="336"/>
      <c r="H105" s="336"/>
      <c r="I105" s="336"/>
      <c r="J105" s="336"/>
      <c r="K105" s="336"/>
      <c r="L105" s="343"/>
      <c r="M105" s="335"/>
      <c r="N105" s="335"/>
      <c r="O105" s="335"/>
      <c r="P105" s="331"/>
      <c r="Q105" s="332"/>
      <c r="W105" s="60"/>
    </row>
    <row r="106" spans="1:23" ht="14.25">
      <c r="A106" s="335"/>
      <c r="B106" s="335"/>
      <c r="C106" s="335"/>
      <c r="D106" s="336"/>
      <c r="E106" s="336"/>
      <c r="F106" s="336"/>
      <c r="G106" s="336"/>
      <c r="H106" s="336"/>
      <c r="I106" s="336"/>
      <c r="J106" s="336"/>
      <c r="K106" s="336"/>
      <c r="L106" s="343"/>
      <c r="M106" s="335"/>
      <c r="N106" s="335"/>
      <c r="O106" s="335"/>
      <c r="P106" s="331"/>
      <c r="Q106" s="332"/>
      <c r="W106" s="60"/>
    </row>
    <row r="107" spans="1:23" ht="14.25">
      <c r="A107" s="335"/>
      <c r="B107" s="335"/>
      <c r="C107" s="335"/>
      <c r="D107" s="336"/>
      <c r="E107" s="336"/>
      <c r="F107" s="336"/>
      <c r="G107" s="336"/>
      <c r="H107" s="336"/>
      <c r="I107" s="336"/>
      <c r="J107" s="336"/>
      <c r="K107" s="336"/>
      <c r="L107" s="343"/>
      <c r="M107" s="335"/>
      <c r="N107" s="335"/>
      <c r="O107" s="335"/>
      <c r="P107" s="331"/>
      <c r="Q107" s="332"/>
      <c r="W107" s="60"/>
    </row>
    <row r="108" spans="1:23" ht="14.25">
      <c r="A108" s="335"/>
      <c r="B108" s="335"/>
      <c r="C108" s="335"/>
      <c r="D108" s="336"/>
      <c r="E108" s="336"/>
      <c r="F108" s="336"/>
      <c r="G108" s="336"/>
      <c r="H108" s="336"/>
      <c r="I108" s="336"/>
      <c r="J108" s="336"/>
      <c r="K108" s="336"/>
      <c r="L108" s="343"/>
      <c r="M108" s="335"/>
      <c r="N108" s="335"/>
      <c r="O108" s="335"/>
      <c r="P108" s="331"/>
      <c r="Q108" s="332"/>
      <c r="W108" s="60"/>
    </row>
    <row r="109" spans="1:23" ht="14.25">
      <c r="A109" s="335"/>
      <c r="B109" s="335"/>
      <c r="C109" s="335"/>
      <c r="D109" s="336"/>
      <c r="E109" s="336"/>
      <c r="F109" s="336"/>
      <c r="G109" s="336"/>
      <c r="H109" s="336"/>
      <c r="I109" s="336"/>
      <c r="J109" s="336"/>
      <c r="K109" s="336"/>
      <c r="L109" s="343"/>
      <c r="M109" s="335"/>
      <c r="N109" s="335"/>
      <c r="O109" s="335"/>
      <c r="P109" s="331"/>
      <c r="Q109" s="332"/>
      <c r="W109" s="60"/>
    </row>
    <row r="110" spans="1:23" ht="14.25">
      <c r="A110" s="335"/>
      <c r="B110" s="335"/>
      <c r="C110" s="335"/>
      <c r="D110" s="336"/>
      <c r="E110" s="336"/>
      <c r="F110" s="336"/>
      <c r="G110" s="336"/>
      <c r="H110" s="336"/>
      <c r="I110" s="336"/>
      <c r="J110" s="336"/>
      <c r="K110" s="336"/>
      <c r="L110" s="343"/>
      <c r="M110" s="335"/>
      <c r="N110" s="335"/>
      <c r="O110" s="335"/>
      <c r="P110" s="331"/>
      <c r="Q110" s="332"/>
      <c r="W110" s="60"/>
    </row>
    <row r="111" spans="1:23" ht="14.25">
      <c r="A111" s="335"/>
      <c r="B111" s="335"/>
      <c r="C111" s="335"/>
      <c r="D111" s="336"/>
      <c r="E111" s="336"/>
      <c r="F111" s="336"/>
      <c r="G111" s="336"/>
      <c r="H111" s="336"/>
      <c r="I111" s="336"/>
      <c r="J111" s="336"/>
      <c r="K111" s="336"/>
      <c r="L111" s="343"/>
      <c r="M111" s="335"/>
      <c r="N111" s="335"/>
      <c r="O111" s="335"/>
      <c r="P111" s="331"/>
      <c r="Q111" s="332"/>
      <c r="W111" s="60"/>
    </row>
    <row r="112" spans="1:23" ht="14.25">
      <c r="A112" s="335"/>
      <c r="B112" s="335"/>
      <c r="C112" s="335"/>
      <c r="D112" s="336"/>
      <c r="E112" s="336"/>
      <c r="F112" s="336"/>
      <c r="G112" s="336"/>
      <c r="H112" s="336"/>
      <c r="I112" s="336"/>
      <c r="J112" s="336"/>
      <c r="K112" s="336"/>
      <c r="L112" s="343"/>
      <c r="M112" s="335"/>
      <c r="N112" s="335"/>
      <c r="O112" s="335"/>
      <c r="P112" s="331"/>
      <c r="Q112" s="332"/>
      <c r="W112" s="60"/>
    </row>
    <row r="113" spans="1:23" ht="14.25">
      <c r="A113" s="335"/>
      <c r="B113" s="335"/>
      <c r="C113" s="335"/>
      <c r="D113" s="336"/>
      <c r="E113" s="336"/>
      <c r="F113" s="336"/>
      <c r="G113" s="336"/>
      <c r="H113" s="336"/>
      <c r="I113" s="336"/>
      <c r="J113" s="336"/>
      <c r="K113" s="336"/>
      <c r="L113" s="343"/>
      <c r="M113" s="335"/>
      <c r="N113" s="335"/>
      <c r="O113" s="335"/>
      <c r="P113" s="331"/>
      <c r="Q113" s="332"/>
      <c r="W113" s="60"/>
    </row>
    <row r="114" spans="1:23" ht="14.25">
      <c r="A114" s="335"/>
      <c r="B114" s="335"/>
      <c r="C114" s="335"/>
      <c r="D114" s="336"/>
      <c r="E114" s="336"/>
      <c r="F114" s="336"/>
      <c r="G114" s="336"/>
      <c r="H114" s="336"/>
      <c r="I114" s="336"/>
      <c r="J114" s="336"/>
      <c r="K114" s="336"/>
      <c r="L114" s="343"/>
      <c r="M114" s="335"/>
      <c r="N114" s="335"/>
      <c r="O114" s="335"/>
      <c r="P114" s="331"/>
      <c r="Q114" s="332"/>
      <c r="W114" s="60"/>
    </row>
    <row r="115" spans="1:23" ht="14.25">
      <c r="A115" s="335"/>
      <c r="B115" s="335"/>
      <c r="C115" s="335"/>
      <c r="D115" s="336"/>
      <c r="E115" s="336"/>
      <c r="F115" s="336"/>
      <c r="G115" s="336"/>
      <c r="H115" s="336"/>
      <c r="I115" s="336"/>
      <c r="J115" s="336"/>
      <c r="K115" s="336"/>
      <c r="L115" s="343"/>
      <c r="M115" s="335"/>
      <c r="N115" s="335"/>
      <c r="O115" s="335"/>
      <c r="P115" s="331"/>
      <c r="Q115" s="332"/>
      <c r="W115" s="60"/>
    </row>
    <row r="116" spans="1:23" ht="14.25">
      <c r="A116" s="335"/>
      <c r="B116" s="335"/>
      <c r="C116" s="335"/>
      <c r="D116" s="336"/>
      <c r="E116" s="336"/>
      <c r="F116" s="336"/>
      <c r="G116" s="336"/>
      <c r="H116" s="336"/>
      <c r="I116" s="336"/>
      <c r="J116" s="336"/>
      <c r="K116" s="336"/>
      <c r="L116" s="343"/>
      <c r="M116" s="335"/>
      <c r="N116" s="335"/>
      <c r="O116" s="335"/>
      <c r="P116" s="331"/>
      <c r="Q116" s="332"/>
      <c r="W116" s="60"/>
    </row>
    <row r="117" spans="1:23" ht="14.25">
      <c r="A117" s="335"/>
      <c r="B117" s="335"/>
      <c r="C117" s="335"/>
      <c r="D117" s="336"/>
      <c r="E117" s="336"/>
      <c r="F117" s="336"/>
      <c r="G117" s="336"/>
      <c r="H117" s="336"/>
      <c r="I117" s="336"/>
      <c r="J117" s="336"/>
      <c r="K117" s="336"/>
      <c r="L117" s="343"/>
      <c r="M117" s="335"/>
      <c r="N117" s="335"/>
      <c r="O117" s="335"/>
      <c r="P117" s="331"/>
      <c r="Q117" s="332"/>
      <c r="W117" s="60"/>
    </row>
    <row r="118" spans="1:23" ht="14.25">
      <c r="A118" s="335"/>
      <c r="B118" s="335"/>
      <c r="C118" s="335"/>
      <c r="D118" s="336"/>
      <c r="E118" s="336"/>
      <c r="F118" s="336"/>
      <c r="G118" s="336"/>
      <c r="H118" s="336"/>
      <c r="I118" s="336"/>
      <c r="J118" s="336"/>
      <c r="K118" s="336"/>
      <c r="L118" s="343"/>
      <c r="M118" s="335"/>
      <c r="N118" s="335"/>
      <c r="O118" s="335"/>
      <c r="P118" s="331"/>
      <c r="Q118" s="332"/>
      <c r="W118" s="60"/>
    </row>
    <row r="119" spans="1:23" ht="14.25">
      <c r="A119" s="335"/>
      <c r="B119" s="335"/>
      <c r="C119" s="335"/>
      <c r="D119" s="336"/>
      <c r="E119" s="336"/>
      <c r="F119" s="336"/>
      <c r="G119" s="336"/>
      <c r="H119" s="336"/>
      <c r="I119" s="336"/>
      <c r="J119" s="336"/>
      <c r="K119" s="336"/>
      <c r="L119" s="343"/>
      <c r="M119" s="335"/>
      <c r="N119" s="335"/>
      <c r="O119" s="335"/>
      <c r="P119" s="331"/>
      <c r="Q119" s="332"/>
      <c r="W119" s="60"/>
    </row>
    <row r="120" spans="1:23" ht="14.25">
      <c r="A120" s="335"/>
      <c r="B120" s="335"/>
      <c r="C120" s="335"/>
      <c r="D120" s="336"/>
      <c r="E120" s="336"/>
      <c r="F120" s="336"/>
      <c r="G120" s="336"/>
      <c r="H120" s="336"/>
      <c r="I120" s="336"/>
      <c r="J120" s="336"/>
      <c r="K120" s="336"/>
      <c r="L120" s="343"/>
      <c r="M120" s="335"/>
      <c r="N120" s="335"/>
      <c r="O120" s="335"/>
      <c r="P120" s="331"/>
      <c r="Q120" s="332"/>
      <c r="W120" s="60"/>
    </row>
    <row r="121" spans="1:23" ht="14.25">
      <c r="A121" s="335"/>
      <c r="B121" s="335"/>
      <c r="C121" s="335"/>
      <c r="D121" s="336"/>
      <c r="E121" s="336"/>
      <c r="F121" s="336"/>
      <c r="G121" s="336"/>
      <c r="H121" s="336"/>
      <c r="I121" s="336"/>
      <c r="J121" s="336"/>
      <c r="K121" s="336"/>
      <c r="L121" s="343"/>
      <c r="M121" s="335"/>
      <c r="N121" s="335"/>
      <c r="O121" s="335"/>
      <c r="P121" s="331"/>
      <c r="Q121" s="332"/>
      <c r="W121" s="60"/>
    </row>
    <row r="122" spans="1:23" ht="14.25">
      <c r="A122" s="335"/>
      <c r="B122" s="335"/>
      <c r="C122" s="335"/>
      <c r="D122" s="336"/>
      <c r="E122" s="336"/>
      <c r="F122" s="336"/>
      <c r="G122" s="336"/>
      <c r="H122" s="336"/>
      <c r="I122" s="336"/>
      <c r="J122" s="336"/>
      <c r="K122" s="336"/>
      <c r="L122" s="343"/>
      <c r="M122" s="335"/>
      <c r="N122" s="335"/>
      <c r="O122" s="335"/>
      <c r="P122" s="331"/>
      <c r="Q122" s="332"/>
      <c r="W122" s="60"/>
    </row>
    <row r="123" spans="1:23" ht="14.25">
      <c r="A123" s="335"/>
      <c r="B123" s="335"/>
      <c r="C123" s="335"/>
      <c r="D123" s="336"/>
      <c r="E123" s="336"/>
      <c r="F123" s="336"/>
      <c r="G123" s="336"/>
      <c r="H123" s="336"/>
      <c r="I123" s="336"/>
      <c r="J123" s="336"/>
      <c r="K123" s="336"/>
      <c r="L123" s="343"/>
      <c r="M123" s="335"/>
      <c r="N123" s="335"/>
      <c r="O123" s="335"/>
      <c r="P123" s="331"/>
      <c r="Q123" s="332"/>
      <c r="W123" s="60"/>
    </row>
    <row r="124" spans="1:23" ht="14.25">
      <c r="A124" s="335"/>
      <c r="B124" s="335"/>
      <c r="C124" s="335"/>
      <c r="D124" s="336"/>
      <c r="E124" s="336"/>
      <c r="F124" s="336"/>
      <c r="G124" s="336"/>
      <c r="H124" s="336"/>
      <c r="I124" s="336"/>
      <c r="J124" s="336"/>
      <c r="K124" s="336"/>
      <c r="L124" s="343"/>
      <c r="M124" s="335"/>
      <c r="N124" s="335"/>
      <c r="O124" s="335"/>
      <c r="P124" s="331"/>
      <c r="Q124" s="332"/>
      <c r="W124" s="60"/>
    </row>
    <row r="125" spans="1:23" ht="14.25">
      <c r="A125" s="335"/>
      <c r="B125" s="335"/>
      <c r="C125" s="335"/>
      <c r="D125" s="336"/>
      <c r="E125" s="336"/>
      <c r="F125" s="336"/>
      <c r="G125" s="336"/>
      <c r="H125" s="336"/>
      <c r="I125" s="336"/>
      <c r="J125" s="336"/>
      <c r="K125" s="336"/>
      <c r="L125" s="343"/>
      <c r="M125" s="335"/>
      <c r="N125" s="335"/>
      <c r="O125" s="335"/>
      <c r="P125" s="331"/>
      <c r="Q125" s="332"/>
      <c r="W125" s="60"/>
    </row>
    <row r="126" spans="1:23" ht="14.25">
      <c r="A126" s="335"/>
      <c r="B126" s="335"/>
      <c r="C126" s="335"/>
      <c r="D126" s="336"/>
      <c r="E126" s="336"/>
      <c r="F126" s="336"/>
      <c r="G126" s="336"/>
      <c r="H126" s="336"/>
      <c r="I126" s="336"/>
      <c r="J126" s="336"/>
      <c r="K126" s="336"/>
      <c r="L126" s="343"/>
      <c r="M126" s="335"/>
      <c r="N126" s="335"/>
      <c r="O126" s="335"/>
      <c r="P126" s="331"/>
      <c r="Q126" s="332"/>
      <c r="W126" s="60"/>
    </row>
    <row r="127" spans="1:23" ht="14.25">
      <c r="A127" s="335"/>
      <c r="B127" s="335"/>
      <c r="C127" s="335"/>
      <c r="D127" s="336"/>
      <c r="E127" s="336"/>
      <c r="F127" s="336"/>
      <c r="G127" s="336"/>
      <c r="H127" s="336"/>
      <c r="I127" s="336"/>
      <c r="J127" s="336"/>
      <c r="K127" s="336"/>
      <c r="L127" s="343"/>
      <c r="M127" s="335"/>
      <c r="N127" s="335"/>
      <c r="O127" s="335"/>
      <c r="P127" s="331"/>
      <c r="Q127" s="332"/>
      <c r="W127" s="60"/>
    </row>
    <row r="128" spans="1:23" ht="14.25">
      <c r="A128" s="335"/>
      <c r="B128" s="335"/>
      <c r="C128" s="335"/>
      <c r="D128" s="336"/>
      <c r="E128" s="336"/>
      <c r="F128" s="336"/>
      <c r="G128" s="336"/>
      <c r="H128" s="336"/>
      <c r="I128" s="336"/>
      <c r="J128" s="336"/>
      <c r="K128" s="336"/>
      <c r="L128" s="343"/>
      <c r="M128" s="335"/>
      <c r="N128" s="335"/>
      <c r="O128" s="335"/>
      <c r="P128" s="331"/>
      <c r="Q128" s="332"/>
      <c r="W128" s="60"/>
    </row>
    <row r="129" spans="1:23" ht="14.25">
      <c r="A129" s="335"/>
      <c r="B129" s="335"/>
      <c r="C129" s="335"/>
      <c r="D129" s="336"/>
      <c r="E129" s="336"/>
      <c r="F129" s="336"/>
      <c r="G129" s="336"/>
      <c r="H129" s="336"/>
      <c r="I129" s="336"/>
      <c r="J129" s="336"/>
      <c r="K129" s="336"/>
      <c r="L129" s="343"/>
      <c r="M129" s="335"/>
      <c r="N129" s="335"/>
      <c r="O129" s="335"/>
      <c r="P129" s="331"/>
      <c r="Q129" s="332"/>
      <c r="W129" s="60"/>
    </row>
    <row r="130" spans="1:23" ht="14.25">
      <c r="A130" s="335"/>
      <c r="B130" s="335"/>
      <c r="C130" s="335"/>
      <c r="D130" s="336"/>
      <c r="E130" s="336"/>
      <c r="F130" s="336"/>
      <c r="G130" s="336"/>
      <c r="H130" s="336"/>
      <c r="I130" s="336"/>
      <c r="J130" s="336"/>
      <c r="K130" s="336"/>
      <c r="L130" s="343"/>
      <c r="M130" s="335"/>
      <c r="N130" s="335"/>
      <c r="O130" s="335"/>
      <c r="P130" s="331"/>
      <c r="Q130" s="332"/>
      <c r="W130" s="60"/>
    </row>
    <row r="131" spans="1:23" ht="14.25">
      <c r="A131" s="335"/>
      <c r="B131" s="335"/>
      <c r="C131" s="335"/>
      <c r="D131" s="336"/>
      <c r="E131" s="336"/>
      <c r="F131" s="336"/>
      <c r="G131" s="336"/>
      <c r="H131" s="336"/>
      <c r="I131" s="336"/>
      <c r="J131" s="336"/>
      <c r="K131" s="336"/>
      <c r="L131" s="343"/>
      <c r="M131" s="335"/>
      <c r="N131" s="335"/>
      <c r="O131" s="335"/>
      <c r="P131" s="331"/>
      <c r="Q131" s="332"/>
      <c r="W131" s="60"/>
    </row>
    <row r="132" spans="1:23" ht="14.25">
      <c r="A132" s="335"/>
      <c r="B132" s="335"/>
      <c r="C132" s="335"/>
      <c r="D132" s="336"/>
      <c r="E132" s="336"/>
      <c r="F132" s="336"/>
      <c r="G132" s="336"/>
      <c r="H132" s="336"/>
      <c r="I132" s="336"/>
      <c r="J132" s="336"/>
      <c r="K132" s="336"/>
      <c r="L132" s="343"/>
      <c r="M132" s="335"/>
      <c r="N132" s="335"/>
      <c r="O132" s="335"/>
      <c r="P132" s="331"/>
      <c r="Q132" s="332"/>
      <c r="W132" s="60"/>
    </row>
    <row r="133" spans="1:23" ht="14.25">
      <c r="A133" s="335"/>
      <c r="B133" s="335"/>
      <c r="C133" s="335"/>
      <c r="D133" s="336"/>
      <c r="E133" s="336"/>
      <c r="F133" s="336"/>
      <c r="G133" s="336"/>
      <c r="H133" s="336"/>
      <c r="I133" s="336"/>
      <c r="J133" s="336"/>
      <c r="K133" s="336"/>
      <c r="L133" s="343"/>
      <c r="M133" s="335"/>
      <c r="N133" s="335"/>
      <c r="O133" s="335"/>
      <c r="P133" s="331"/>
      <c r="Q133" s="332"/>
      <c r="W133" s="60"/>
    </row>
    <row r="134" spans="1:23" ht="14.25">
      <c r="A134" s="335"/>
      <c r="B134" s="335"/>
      <c r="C134" s="335"/>
      <c r="D134" s="336"/>
      <c r="E134" s="336"/>
      <c r="F134" s="336"/>
      <c r="G134" s="336"/>
      <c r="H134" s="336"/>
      <c r="I134" s="336"/>
      <c r="J134" s="336"/>
      <c r="K134" s="336"/>
      <c r="L134" s="343"/>
      <c r="M134" s="335"/>
      <c r="N134" s="335"/>
      <c r="O134" s="335"/>
      <c r="P134" s="331"/>
      <c r="Q134" s="332"/>
      <c r="W134" s="60"/>
    </row>
    <row r="135" spans="1:23" ht="14.25">
      <c r="A135" s="335"/>
      <c r="B135" s="335"/>
      <c r="C135" s="335"/>
      <c r="D135" s="336"/>
      <c r="E135" s="336"/>
      <c r="F135" s="336"/>
      <c r="G135" s="336"/>
      <c r="H135" s="336"/>
      <c r="I135" s="336"/>
      <c r="J135" s="336"/>
      <c r="K135" s="336"/>
      <c r="L135" s="343"/>
      <c r="M135" s="335"/>
      <c r="N135" s="335"/>
      <c r="O135" s="335"/>
      <c r="P135" s="331"/>
      <c r="Q135" s="332"/>
      <c r="W135" s="60"/>
    </row>
    <row r="136" spans="1:23" ht="14.25">
      <c r="A136" s="335"/>
      <c r="B136" s="335"/>
      <c r="C136" s="335"/>
      <c r="D136" s="336"/>
      <c r="E136" s="336"/>
      <c r="F136" s="336"/>
      <c r="G136" s="336"/>
      <c r="H136" s="336"/>
      <c r="I136" s="336"/>
      <c r="J136" s="336"/>
      <c r="K136" s="336"/>
      <c r="L136" s="343"/>
      <c r="M136" s="335"/>
      <c r="N136" s="335"/>
      <c r="O136" s="335"/>
      <c r="P136" s="331"/>
      <c r="Q136" s="332"/>
      <c r="W136" s="60"/>
    </row>
    <row r="137" spans="1:23" ht="14.25">
      <c r="A137" s="335"/>
      <c r="B137" s="335"/>
      <c r="C137" s="335"/>
      <c r="D137" s="336"/>
      <c r="E137" s="336"/>
      <c r="F137" s="336"/>
      <c r="G137" s="336"/>
      <c r="H137" s="336"/>
      <c r="I137" s="336"/>
      <c r="J137" s="336"/>
      <c r="K137" s="336"/>
      <c r="L137" s="343"/>
      <c r="M137" s="335"/>
      <c r="N137" s="335"/>
      <c r="O137" s="335"/>
      <c r="P137" s="331"/>
      <c r="Q137" s="332"/>
      <c r="W137" s="60"/>
    </row>
    <row r="138" spans="1:23" ht="14.25">
      <c r="A138" s="335"/>
      <c r="B138" s="335"/>
      <c r="C138" s="335"/>
      <c r="D138" s="336"/>
      <c r="E138" s="336"/>
      <c r="F138" s="336"/>
      <c r="G138" s="336"/>
      <c r="H138" s="336"/>
      <c r="I138" s="336"/>
      <c r="J138" s="336"/>
      <c r="K138" s="336"/>
      <c r="L138" s="343"/>
      <c r="M138" s="335"/>
      <c r="N138" s="335"/>
      <c r="O138" s="335"/>
      <c r="P138" s="331"/>
      <c r="Q138" s="332"/>
      <c r="W138" s="60"/>
    </row>
    <row r="139" spans="1:23" ht="14.25">
      <c r="A139" s="335"/>
      <c r="B139" s="335"/>
      <c r="C139" s="335"/>
      <c r="D139" s="336"/>
      <c r="E139" s="336"/>
      <c r="F139" s="336"/>
      <c r="G139" s="336"/>
      <c r="H139" s="336"/>
      <c r="I139" s="336"/>
      <c r="J139" s="336"/>
      <c r="K139" s="336"/>
      <c r="L139" s="343"/>
      <c r="M139" s="335"/>
      <c r="N139" s="335"/>
      <c r="O139" s="335"/>
      <c r="P139" s="331"/>
      <c r="Q139" s="332"/>
      <c r="W139" s="60"/>
    </row>
    <row r="140" spans="1:23" ht="14.25">
      <c r="A140" s="335"/>
      <c r="B140" s="335"/>
      <c r="C140" s="335"/>
      <c r="D140" s="336"/>
      <c r="E140" s="336"/>
      <c r="F140" s="336"/>
      <c r="G140" s="336"/>
      <c r="H140" s="336"/>
      <c r="I140" s="336"/>
      <c r="J140" s="336"/>
      <c r="K140" s="336"/>
      <c r="L140" s="343"/>
      <c r="M140" s="335"/>
      <c r="N140" s="335"/>
      <c r="O140" s="335"/>
      <c r="P140" s="331"/>
      <c r="Q140" s="332"/>
      <c r="W140" s="60"/>
    </row>
    <row r="141" spans="1:23" ht="14.25">
      <c r="A141" s="335"/>
      <c r="B141" s="335"/>
      <c r="C141" s="335"/>
      <c r="D141" s="336"/>
      <c r="E141" s="336"/>
      <c r="F141" s="336"/>
      <c r="G141" s="336"/>
      <c r="H141" s="336"/>
      <c r="I141" s="336"/>
      <c r="J141" s="336"/>
      <c r="K141" s="336"/>
      <c r="L141" s="343"/>
      <c r="M141" s="335"/>
      <c r="N141" s="335"/>
      <c r="O141" s="335"/>
      <c r="P141" s="331"/>
      <c r="Q141" s="332"/>
      <c r="W141" s="60"/>
    </row>
    <row r="142" spans="1:23" ht="14.25">
      <c r="A142" s="335"/>
      <c r="B142" s="335"/>
      <c r="C142" s="335"/>
      <c r="D142" s="336"/>
      <c r="E142" s="336"/>
      <c r="F142" s="336"/>
      <c r="G142" s="336"/>
      <c r="H142" s="336"/>
      <c r="I142" s="336"/>
      <c r="J142" s="336"/>
      <c r="K142" s="336"/>
      <c r="L142" s="343"/>
      <c r="M142" s="335"/>
      <c r="N142" s="335"/>
      <c r="O142" s="335"/>
      <c r="P142" s="331"/>
      <c r="Q142" s="332"/>
      <c r="W142" s="60"/>
    </row>
    <row r="143" spans="1:23" ht="14.25">
      <c r="A143" s="335"/>
      <c r="B143" s="335"/>
      <c r="C143" s="335"/>
      <c r="D143" s="336"/>
      <c r="E143" s="336"/>
      <c r="F143" s="336"/>
      <c r="G143" s="336"/>
      <c r="H143" s="336"/>
      <c r="I143" s="336"/>
      <c r="J143" s="336"/>
      <c r="K143" s="336"/>
      <c r="L143" s="343"/>
      <c r="M143" s="335"/>
      <c r="N143" s="335"/>
      <c r="O143" s="335"/>
      <c r="P143" s="331"/>
      <c r="Q143" s="332"/>
      <c r="W143" s="60"/>
    </row>
    <row r="144" spans="1:23" ht="14.25">
      <c r="A144" s="335"/>
      <c r="B144" s="335"/>
      <c r="C144" s="335"/>
      <c r="D144" s="336"/>
      <c r="E144" s="336"/>
      <c r="F144" s="336"/>
      <c r="G144" s="336"/>
      <c r="H144" s="336"/>
      <c r="I144" s="336"/>
      <c r="J144" s="336"/>
      <c r="K144" s="336"/>
      <c r="L144" s="343"/>
      <c r="M144" s="335"/>
      <c r="N144" s="335"/>
      <c r="O144" s="335"/>
      <c r="P144" s="331"/>
      <c r="Q144" s="332"/>
      <c r="W144" s="60"/>
    </row>
    <row r="145" spans="1:23" ht="14.25">
      <c r="A145" s="335"/>
      <c r="B145" s="335"/>
      <c r="C145" s="335"/>
      <c r="D145" s="336"/>
      <c r="E145" s="336"/>
      <c r="F145" s="336"/>
      <c r="G145" s="336"/>
      <c r="H145" s="336"/>
      <c r="I145" s="336"/>
      <c r="J145" s="336"/>
      <c r="K145" s="336"/>
      <c r="L145" s="343"/>
      <c r="M145" s="335"/>
      <c r="N145" s="335"/>
      <c r="O145" s="335"/>
      <c r="P145" s="331"/>
      <c r="Q145" s="332"/>
      <c r="W145" s="60"/>
    </row>
    <row r="146" spans="1:23" ht="14.25">
      <c r="A146" s="335"/>
      <c r="B146" s="335"/>
      <c r="C146" s="335"/>
      <c r="D146" s="336"/>
      <c r="E146" s="336"/>
      <c r="F146" s="336"/>
      <c r="G146" s="336"/>
      <c r="H146" s="336"/>
      <c r="I146" s="336"/>
      <c r="J146" s="336"/>
      <c r="K146" s="336"/>
      <c r="L146" s="343"/>
      <c r="M146" s="335"/>
      <c r="N146" s="335"/>
      <c r="O146" s="335"/>
      <c r="P146" s="331"/>
      <c r="Q146" s="332"/>
      <c r="W146" s="60"/>
    </row>
    <row r="147" spans="1:23" ht="14.25">
      <c r="A147" s="335"/>
      <c r="B147" s="335"/>
      <c r="C147" s="335"/>
      <c r="D147" s="336"/>
      <c r="E147" s="336"/>
      <c r="F147" s="336"/>
      <c r="G147" s="336"/>
      <c r="H147" s="336"/>
      <c r="I147" s="336"/>
      <c r="J147" s="336"/>
      <c r="K147" s="336"/>
      <c r="L147" s="343"/>
      <c r="M147" s="335"/>
      <c r="N147" s="335"/>
      <c r="O147" s="335"/>
      <c r="P147" s="331"/>
      <c r="Q147" s="332"/>
      <c r="W147" s="60"/>
    </row>
    <row r="148" spans="1:23" ht="14.25">
      <c r="A148" s="335"/>
      <c r="B148" s="335"/>
      <c r="C148" s="335"/>
      <c r="D148" s="336"/>
      <c r="E148" s="336"/>
      <c r="F148" s="336"/>
      <c r="G148" s="336"/>
      <c r="H148" s="336"/>
      <c r="I148" s="336"/>
      <c r="J148" s="336"/>
      <c r="K148" s="336"/>
      <c r="L148" s="343"/>
      <c r="M148" s="335"/>
      <c r="N148" s="335"/>
      <c r="O148" s="335"/>
      <c r="P148" s="331"/>
      <c r="Q148" s="332"/>
      <c r="W148" s="60"/>
    </row>
    <row r="149" spans="1:23" ht="14.25">
      <c r="A149" s="335"/>
      <c r="B149" s="335"/>
      <c r="C149" s="335"/>
      <c r="D149" s="336"/>
      <c r="E149" s="336"/>
      <c r="F149" s="336"/>
      <c r="G149" s="336"/>
      <c r="H149" s="336"/>
      <c r="I149" s="336"/>
      <c r="J149" s="336"/>
      <c r="K149" s="336"/>
      <c r="L149" s="343"/>
      <c r="M149" s="335"/>
      <c r="N149" s="335"/>
      <c r="O149" s="335"/>
      <c r="P149" s="331"/>
      <c r="Q149" s="332"/>
      <c r="W149" s="60"/>
    </row>
    <row r="150" spans="1:23" ht="14.25">
      <c r="A150" s="335"/>
      <c r="B150" s="335"/>
      <c r="C150" s="335"/>
      <c r="D150" s="336"/>
      <c r="E150" s="336"/>
      <c r="F150" s="336"/>
      <c r="G150" s="336"/>
      <c r="H150" s="336"/>
      <c r="I150" s="336"/>
      <c r="J150" s="336"/>
      <c r="K150" s="336"/>
      <c r="L150" s="343"/>
      <c r="M150" s="335"/>
      <c r="N150" s="335"/>
      <c r="O150" s="335"/>
      <c r="P150" s="331"/>
      <c r="Q150" s="332"/>
      <c r="W150" s="60"/>
    </row>
    <row r="151" spans="1:23" ht="14.25">
      <c r="A151" s="335"/>
      <c r="B151" s="335"/>
      <c r="C151" s="335"/>
      <c r="D151" s="336"/>
      <c r="E151" s="336"/>
      <c r="F151" s="336"/>
      <c r="G151" s="336"/>
      <c r="H151" s="336"/>
      <c r="I151" s="336"/>
      <c r="J151" s="336"/>
      <c r="K151" s="336"/>
      <c r="L151" s="343"/>
      <c r="M151" s="335"/>
      <c r="N151" s="335"/>
      <c r="O151" s="335"/>
      <c r="P151" s="331"/>
      <c r="Q151" s="332"/>
      <c r="W151" s="60"/>
    </row>
    <row r="152" spans="1:23" ht="14.25">
      <c r="A152" s="335"/>
      <c r="B152" s="335"/>
      <c r="C152" s="335"/>
      <c r="D152" s="336"/>
      <c r="E152" s="336"/>
      <c r="F152" s="336"/>
      <c r="G152" s="336"/>
      <c r="H152" s="336"/>
      <c r="I152" s="336"/>
      <c r="J152" s="336"/>
      <c r="K152" s="336"/>
      <c r="L152" s="343"/>
      <c r="M152" s="335"/>
      <c r="N152" s="335"/>
      <c r="O152" s="335"/>
      <c r="P152" s="331"/>
      <c r="Q152" s="332"/>
      <c r="W152" s="60"/>
    </row>
    <row r="153" spans="1:23" ht="14.25">
      <c r="A153" s="335"/>
      <c r="B153" s="335"/>
      <c r="C153" s="335"/>
      <c r="D153" s="336"/>
      <c r="E153" s="336"/>
      <c r="F153" s="336"/>
      <c r="G153" s="336"/>
      <c r="H153" s="336"/>
      <c r="I153" s="336"/>
      <c r="J153" s="336"/>
      <c r="K153" s="336"/>
      <c r="L153" s="343"/>
      <c r="M153" s="335"/>
      <c r="N153" s="335"/>
      <c r="O153" s="335"/>
      <c r="P153" s="331"/>
      <c r="Q153" s="332"/>
      <c r="W153" s="60"/>
    </row>
    <row r="154" spans="1:23" ht="14.25">
      <c r="A154" s="335"/>
      <c r="B154" s="335"/>
      <c r="C154" s="335"/>
      <c r="D154" s="336"/>
      <c r="E154" s="336"/>
      <c r="F154" s="336"/>
      <c r="G154" s="336"/>
      <c r="H154" s="336"/>
      <c r="I154" s="336"/>
      <c r="J154" s="336"/>
      <c r="K154" s="336"/>
      <c r="L154" s="343"/>
      <c r="M154" s="335"/>
      <c r="N154" s="335"/>
      <c r="O154" s="335"/>
      <c r="P154" s="331"/>
      <c r="Q154" s="332"/>
      <c r="W154" s="60"/>
    </row>
    <row r="155" spans="1:23" ht="14.25">
      <c r="A155" s="335"/>
      <c r="B155" s="335"/>
      <c r="C155" s="335"/>
      <c r="D155" s="336"/>
      <c r="E155" s="336"/>
      <c r="F155" s="336"/>
      <c r="G155" s="336"/>
      <c r="H155" s="336"/>
      <c r="I155" s="336"/>
      <c r="J155" s="336"/>
      <c r="K155" s="336"/>
      <c r="L155" s="343"/>
      <c r="M155" s="335"/>
      <c r="N155" s="335"/>
      <c r="O155" s="335"/>
      <c r="P155" s="331"/>
      <c r="Q155" s="332"/>
      <c r="W155" s="60"/>
    </row>
    <row r="156" spans="1:23" ht="14.25">
      <c r="A156" s="335"/>
      <c r="B156" s="335"/>
      <c r="C156" s="335"/>
      <c r="D156" s="336"/>
      <c r="E156" s="336"/>
      <c r="F156" s="336"/>
      <c r="G156" s="336"/>
      <c r="H156" s="336"/>
      <c r="I156" s="336"/>
      <c r="J156" s="336"/>
      <c r="K156" s="336"/>
      <c r="L156" s="343"/>
      <c r="M156" s="335"/>
      <c r="N156" s="335"/>
      <c r="O156" s="335"/>
      <c r="P156" s="331"/>
      <c r="Q156" s="332"/>
      <c r="W156" s="60"/>
    </row>
    <row r="157" spans="1:23" ht="14.25">
      <c r="A157" s="335"/>
      <c r="B157" s="335"/>
      <c r="C157" s="335"/>
      <c r="D157" s="336"/>
      <c r="E157" s="336"/>
      <c r="F157" s="336"/>
      <c r="G157" s="336"/>
      <c r="H157" s="336"/>
      <c r="I157" s="336"/>
      <c r="J157" s="336"/>
      <c r="K157" s="336"/>
      <c r="L157" s="343"/>
      <c r="M157" s="335"/>
      <c r="N157" s="335"/>
      <c r="O157" s="335"/>
      <c r="P157" s="331"/>
      <c r="Q157" s="332"/>
      <c r="W157" s="60"/>
    </row>
    <row r="158" spans="1:23" ht="14.25">
      <c r="A158" s="335"/>
      <c r="B158" s="335"/>
      <c r="C158" s="335"/>
      <c r="D158" s="336"/>
      <c r="E158" s="336"/>
      <c r="F158" s="336"/>
      <c r="G158" s="336"/>
      <c r="H158" s="336"/>
      <c r="I158" s="336"/>
      <c r="J158" s="336"/>
      <c r="K158" s="336"/>
      <c r="L158" s="343"/>
      <c r="M158" s="335"/>
      <c r="N158" s="335"/>
      <c r="O158" s="335"/>
      <c r="P158" s="331"/>
      <c r="Q158" s="332"/>
      <c r="W158" s="60"/>
    </row>
    <row r="159" spans="1:23" ht="14.25">
      <c r="A159" s="335"/>
      <c r="B159" s="335"/>
      <c r="C159" s="335"/>
      <c r="D159" s="336"/>
      <c r="E159" s="336"/>
      <c r="F159" s="336"/>
      <c r="G159" s="336"/>
      <c r="H159" s="336"/>
      <c r="I159" s="336"/>
      <c r="J159" s="336"/>
      <c r="K159" s="336"/>
      <c r="L159" s="343"/>
      <c r="M159" s="335"/>
      <c r="N159" s="335"/>
      <c r="O159" s="335"/>
      <c r="P159" s="331"/>
      <c r="Q159" s="332"/>
      <c r="W159" s="60"/>
    </row>
    <row r="160" spans="1:23" ht="14.25">
      <c r="A160" s="335"/>
      <c r="B160" s="335"/>
      <c r="C160" s="335"/>
      <c r="D160" s="336"/>
      <c r="E160" s="336"/>
      <c r="F160" s="336"/>
      <c r="G160" s="336"/>
      <c r="H160" s="336"/>
      <c r="I160" s="336"/>
      <c r="J160" s="336"/>
      <c r="K160" s="336"/>
      <c r="L160" s="343"/>
      <c r="M160" s="335"/>
      <c r="N160" s="335"/>
      <c r="O160" s="335"/>
      <c r="P160" s="331"/>
      <c r="Q160" s="332"/>
      <c r="W160" s="60"/>
    </row>
    <row r="161" spans="1:23" ht="14.25">
      <c r="A161" s="335"/>
      <c r="B161" s="335"/>
      <c r="C161" s="335"/>
      <c r="D161" s="336"/>
      <c r="E161" s="336"/>
      <c r="F161" s="336"/>
      <c r="G161" s="336"/>
      <c r="H161" s="336"/>
      <c r="I161" s="336"/>
      <c r="J161" s="336"/>
      <c r="K161" s="336"/>
      <c r="L161" s="343"/>
      <c r="M161" s="335"/>
      <c r="N161" s="335"/>
      <c r="O161" s="335"/>
      <c r="P161" s="331"/>
      <c r="Q161" s="332"/>
      <c r="W161" s="60"/>
    </row>
    <row r="162" spans="1:23" ht="14.25">
      <c r="A162" s="335"/>
      <c r="B162" s="335"/>
      <c r="C162" s="335"/>
      <c r="D162" s="336"/>
      <c r="E162" s="336"/>
      <c r="F162" s="336"/>
      <c r="G162" s="336"/>
      <c r="H162" s="336"/>
      <c r="I162" s="336"/>
      <c r="J162" s="336"/>
      <c r="K162" s="336"/>
      <c r="L162" s="343"/>
      <c r="M162" s="335"/>
      <c r="N162" s="335"/>
      <c r="O162" s="335"/>
      <c r="P162" s="331"/>
      <c r="Q162" s="332"/>
      <c r="W162" s="60"/>
    </row>
    <row r="163" spans="1:23" ht="14.25">
      <c r="A163" s="335"/>
      <c r="B163" s="335"/>
      <c r="C163" s="335"/>
      <c r="D163" s="336"/>
      <c r="E163" s="336"/>
      <c r="F163" s="336"/>
      <c r="G163" s="336"/>
      <c r="H163" s="336"/>
      <c r="I163" s="336"/>
      <c r="J163" s="336"/>
      <c r="K163" s="336"/>
      <c r="L163" s="343"/>
      <c r="M163" s="335"/>
      <c r="N163" s="335"/>
      <c r="O163" s="335"/>
      <c r="P163" s="331"/>
      <c r="Q163" s="332"/>
      <c r="W163" s="60"/>
    </row>
    <row r="164" spans="1:23" ht="14.25">
      <c r="A164" s="335"/>
      <c r="B164" s="335"/>
      <c r="C164" s="335"/>
      <c r="D164" s="336"/>
      <c r="E164" s="336"/>
      <c r="F164" s="336"/>
      <c r="G164" s="336"/>
      <c r="H164" s="336"/>
      <c r="I164" s="336"/>
      <c r="J164" s="336"/>
      <c r="K164" s="336"/>
      <c r="L164" s="343"/>
      <c r="M164" s="335"/>
      <c r="N164" s="335"/>
      <c r="O164" s="335"/>
      <c r="P164" s="331"/>
      <c r="Q164" s="332"/>
      <c r="W164" s="60"/>
    </row>
    <row r="165" spans="1:23" ht="14.25">
      <c r="A165" s="335"/>
      <c r="B165" s="335"/>
      <c r="C165" s="335"/>
      <c r="D165" s="336"/>
      <c r="E165" s="336"/>
      <c r="F165" s="336"/>
      <c r="G165" s="336"/>
      <c r="H165" s="336"/>
      <c r="I165" s="336"/>
      <c r="J165" s="336"/>
      <c r="K165" s="336"/>
      <c r="L165" s="343"/>
      <c r="M165" s="335"/>
      <c r="N165" s="335"/>
      <c r="O165" s="335"/>
      <c r="P165" s="331"/>
      <c r="Q165" s="332"/>
      <c r="W165" s="60"/>
    </row>
    <row r="166" spans="1:23" ht="14.25">
      <c r="A166" s="335"/>
      <c r="B166" s="335"/>
      <c r="C166" s="335"/>
      <c r="D166" s="336"/>
      <c r="E166" s="336"/>
      <c r="F166" s="336"/>
      <c r="G166" s="336"/>
      <c r="H166" s="336"/>
      <c r="I166" s="336"/>
      <c r="J166" s="336"/>
      <c r="K166" s="336"/>
      <c r="L166" s="343"/>
      <c r="M166" s="335"/>
      <c r="N166" s="335"/>
      <c r="O166" s="335"/>
      <c r="P166" s="331"/>
      <c r="Q166" s="332"/>
      <c r="W166" s="60"/>
    </row>
    <row r="167" spans="1:23" ht="14.25">
      <c r="A167" s="335"/>
      <c r="B167" s="335"/>
      <c r="C167" s="335"/>
      <c r="D167" s="336"/>
      <c r="E167" s="336"/>
      <c r="F167" s="336"/>
      <c r="G167" s="336"/>
      <c r="H167" s="336"/>
      <c r="I167" s="336"/>
      <c r="J167" s="336"/>
      <c r="K167" s="336"/>
      <c r="L167" s="343"/>
      <c r="M167" s="335"/>
      <c r="N167" s="335"/>
      <c r="O167" s="335"/>
      <c r="P167" s="331"/>
      <c r="Q167" s="332"/>
      <c r="W167" s="60"/>
    </row>
    <row r="168" spans="1:23" ht="14.25">
      <c r="A168" s="335"/>
      <c r="B168" s="335"/>
      <c r="C168" s="335"/>
      <c r="D168" s="336"/>
      <c r="E168" s="336"/>
      <c r="F168" s="336"/>
      <c r="G168" s="336"/>
      <c r="H168" s="336"/>
      <c r="I168" s="336"/>
      <c r="J168" s="336"/>
      <c r="K168" s="336"/>
      <c r="L168" s="343"/>
      <c r="M168" s="335"/>
      <c r="N168" s="335"/>
      <c r="O168" s="335"/>
      <c r="P168" s="331"/>
      <c r="Q168" s="332"/>
      <c r="W168" s="60"/>
    </row>
    <row r="169" spans="1:23" ht="14.25">
      <c r="A169" s="335"/>
      <c r="B169" s="335"/>
      <c r="C169" s="335"/>
      <c r="D169" s="336"/>
      <c r="E169" s="336"/>
      <c r="F169" s="336"/>
      <c r="G169" s="336"/>
      <c r="H169" s="336"/>
      <c r="I169" s="336"/>
      <c r="J169" s="336"/>
      <c r="K169" s="336"/>
      <c r="L169" s="343"/>
      <c r="M169" s="335"/>
      <c r="N169" s="335"/>
      <c r="O169" s="335"/>
      <c r="P169" s="331"/>
      <c r="Q169" s="332"/>
      <c r="W169" s="60"/>
    </row>
    <row r="170" spans="1:23" ht="14.25">
      <c r="A170" s="335"/>
      <c r="B170" s="335"/>
      <c r="C170" s="335"/>
      <c r="D170" s="336"/>
      <c r="E170" s="336"/>
      <c r="F170" s="336"/>
      <c r="G170" s="336"/>
      <c r="H170" s="336"/>
      <c r="I170" s="336"/>
      <c r="J170" s="336"/>
      <c r="K170" s="336"/>
      <c r="L170" s="343"/>
      <c r="M170" s="335"/>
      <c r="N170" s="335"/>
      <c r="O170" s="335"/>
      <c r="P170" s="331"/>
      <c r="Q170" s="332"/>
      <c r="W170" s="60"/>
    </row>
    <row r="171" spans="1:23" ht="14.25">
      <c r="A171" s="335"/>
      <c r="B171" s="335"/>
      <c r="C171" s="335"/>
      <c r="D171" s="336"/>
      <c r="E171" s="336"/>
      <c r="F171" s="336"/>
      <c r="G171" s="336"/>
      <c r="H171" s="336"/>
      <c r="I171" s="336"/>
      <c r="J171" s="336"/>
      <c r="K171" s="336"/>
      <c r="L171" s="343"/>
      <c r="M171" s="335"/>
      <c r="N171" s="335"/>
      <c r="O171" s="335"/>
      <c r="P171" s="331"/>
      <c r="Q171" s="332"/>
      <c r="W171" s="60"/>
    </row>
    <row r="172" spans="1:23" ht="14.25">
      <c r="A172" s="335"/>
      <c r="B172" s="335"/>
      <c r="C172" s="335"/>
      <c r="D172" s="336"/>
      <c r="E172" s="336"/>
      <c r="F172" s="336"/>
      <c r="G172" s="336"/>
      <c r="H172" s="336"/>
      <c r="I172" s="336"/>
      <c r="J172" s="336"/>
      <c r="K172" s="336"/>
      <c r="L172" s="343"/>
      <c r="M172" s="335"/>
      <c r="N172" s="335"/>
      <c r="O172" s="335"/>
      <c r="P172" s="331"/>
      <c r="Q172" s="332"/>
      <c r="W172" s="60"/>
    </row>
    <row r="173" spans="1:23" ht="14.25">
      <c r="A173" s="335"/>
      <c r="B173" s="335"/>
      <c r="C173" s="335"/>
      <c r="D173" s="336"/>
      <c r="E173" s="336"/>
      <c r="F173" s="336"/>
      <c r="G173" s="336"/>
      <c r="H173" s="336"/>
      <c r="I173" s="336"/>
      <c r="J173" s="336"/>
      <c r="K173" s="336"/>
      <c r="L173" s="343"/>
      <c r="M173" s="335"/>
      <c r="N173" s="335"/>
      <c r="O173" s="335"/>
      <c r="P173" s="331"/>
      <c r="Q173" s="332"/>
      <c r="W173" s="60"/>
    </row>
    <row r="174" spans="1:23" ht="14.25">
      <c r="A174" s="335"/>
      <c r="B174" s="335"/>
      <c r="C174" s="335"/>
      <c r="D174" s="336"/>
      <c r="E174" s="336"/>
      <c r="F174" s="336"/>
      <c r="G174" s="336"/>
      <c r="H174" s="336"/>
      <c r="I174" s="336"/>
      <c r="J174" s="336"/>
      <c r="K174" s="336"/>
      <c r="L174" s="343"/>
      <c r="M174" s="335"/>
      <c r="N174" s="335"/>
      <c r="O174" s="335"/>
      <c r="P174" s="331"/>
      <c r="Q174" s="332"/>
      <c r="W174" s="60"/>
    </row>
    <row r="175" spans="1:23" ht="14.25">
      <c r="A175" s="335"/>
      <c r="B175" s="335"/>
      <c r="C175" s="335"/>
      <c r="D175" s="336"/>
      <c r="E175" s="336"/>
      <c r="F175" s="336"/>
      <c r="G175" s="336"/>
      <c r="H175" s="336"/>
      <c r="I175" s="336"/>
      <c r="J175" s="336"/>
      <c r="K175" s="336"/>
      <c r="L175" s="343"/>
      <c r="M175" s="335"/>
      <c r="N175" s="335"/>
      <c r="O175" s="335"/>
      <c r="P175" s="331"/>
      <c r="Q175" s="332"/>
      <c r="W175" s="60"/>
    </row>
    <row r="176" spans="1:23" ht="14.25">
      <c r="A176" s="335"/>
      <c r="B176" s="335"/>
      <c r="C176" s="335"/>
      <c r="D176" s="336"/>
      <c r="E176" s="336"/>
      <c r="F176" s="336"/>
      <c r="G176" s="336"/>
      <c r="H176" s="336"/>
      <c r="I176" s="336"/>
      <c r="J176" s="336"/>
      <c r="K176" s="336"/>
      <c r="L176" s="343"/>
      <c r="M176" s="335"/>
      <c r="N176" s="335"/>
      <c r="O176" s="335"/>
      <c r="P176" s="331"/>
      <c r="Q176" s="332"/>
      <c r="W176" s="60"/>
    </row>
    <row r="177" spans="1:23" ht="14.25">
      <c r="A177" s="335"/>
      <c r="B177" s="335"/>
      <c r="C177" s="335"/>
      <c r="D177" s="336"/>
      <c r="E177" s="336"/>
      <c r="F177" s="336"/>
      <c r="G177" s="336"/>
      <c r="H177" s="336"/>
      <c r="I177" s="336"/>
      <c r="J177" s="336"/>
      <c r="K177" s="336"/>
      <c r="L177" s="343"/>
      <c r="M177" s="335"/>
      <c r="N177" s="335"/>
      <c r="O177" s="335"/>
      <c r="P177" s="331"/>
      <c r="Q177" s="332"/>
      <c r="W177" s="60"/>
    </row>
    <row r="178" spans="1:23" ht="14.25">
      <c r="A178" s="335"/>
      <c r="B178" s="335"/>
      <c r="C178" s="335"/>
      <c r="D178" s="336"/>
      <c r="E178" s="336"/>
      <c r="F178" s="336"/>
      <c r="G178" s="336"/>
      <c r="H178" s="336"/>
      <c r="I178" s="336"/>
      <c r="J178" s="336"/>
      <c r="K178" s="336"/>
      <c r="L178" s="343"/>
      <c r="M178" s="335"/>
      <c r="N178" s="335"/>
      <c r="O178" s="335"/>
      <c r="P178" s="331"/>
      <c r="Q178" s="332"/>
      <c r="W178" s="60"/>
    </row>
    <row r="179" spans="1:23" ht="14.25">
      <c r="A179" s="335"/>
      <c r="B179" s="335"/>
      <c r="C179" s="335"/>
      <c r="D179" s="336"/>
      <c r="E179" s="336"/>
      <c r="F179" s="336"/>
      <c r="G179" s="336"/>
      <c r="H179" s="336"/>
      <c r="I179" s="336"/>
      <c r="J179" s="336"/>
      <c r="K179" s="336"/>
      <c r="L179" s="343"/>
      <c r="M179" s="335"/>
      <c r="N179" s="335"/>
      <c r="O179" s="335"/>
      <c r="P179" s="331"/>
      <c r="Q179" s="332"/>
      <c r="W179" s="60"/>
    </row>
    <row r="180" spans="1:23" ht="14.25">
      <c r="A180" s="335"/>
      <c r="B180" s="335"/>
      <c r="C180" s="335"/>
      <c r="D180" s="336"/>
      <c r="E180" s="336"/>
      <c r="F180" s="336"/>
      <c r="G180" s="336"/>
      <c r="H180" s="336"/>
      <c r="I180" s="336"/>
      <c r="J180" s="336"/>
      <c r="K180" s="336"/>
      <c r="L180" s="343"/>
      <c r="M180" s="335"/>
      <c r="N180" s="335"/>
      <c r="O180" s="335"/>
      <c r="P180" s="331"/>
      <c r="Q180" s="332"/>
      <c r="W180" s="60"/>
    </row>
    <row r="181" spans="1:23" ht="14.25">
      <c r="A181" s="335"/>
      <c r="B181" s="335"/>
      <c r="C181" s="335"/>
      <c r="D181" s="336"/>
      <c r="E181" s="336"/>
      <c r="F181" s="336"/>
      <c r="G181" s="336"/>
      <c r="H181" s="336"/>
      <c r="I181" s="336"/>
      <c r="J181" s="336"/>
      <c r="K181" s="336"/>
      <c r="L181" s="343"/>
      <c r="M181" s="335"/>
      <c r="N181" s="335"/>
      <c r="O181" s="335"/>
      <c r="P181" s="331"/>
      <c r="Q181" s="332"/>
      <c r="W181" s="60"/>
    </row>
    <row r="182" spans="1:23" ht="14.25">
      <c r="A182" s="335"/>
      <c r="B182" s="335"/>
      <c r="C182" s="335"/>
      <c r="D182" s="336"/>
      <c r="E182" s="336"/>
      <c r="F182" s="336"/>
      <c r="G182" s="336"/>
      <c r="H182" s="336"/>
      <c r="I182" s="336"/>
      <c r="J182" s="336"/>
      <c r="K182" s="336"/>
      <c r="L182" s="343"/>
      <c r="M182" s="335"/>
      <c r="N182" s="335"/>
      <c r="O182" s="335"/>
      <c r="P182" s="331"/>
      <c r="Q182" s="332"/>
      <c r="W182" s="60"/>
    </row>
    <row r="183" spans="1:23" ht="14.25">
      <c r="A183" s="335"/>
      <c r="B183" s="335"/>
      <c r="C183" s="335"/>
      <c r="D183" s="336"/>
      <c r="E183" s="336"/>
      <c r="F183" s="336"/>
      <c r="G183" s="336"/>
      <c r="H183" s="336"/>
      <c r="I183" s="336"/>
      <c r="J183" s="336"/>
      <c r="K183" s="336"/>
      <c r="L183" s="343"/>
      <c r="M183" s="335"/>
      <c r="N183" s="335"/>
      <c r="O183" s="335"/>
      <c r="P183" s="331"/>
      <c r="Q183" s="332"/>
      <c r="W183" s="60"/>
    </row>
    <row r="184" spans="1:23" ht="14.25">
      <c r="A184" s="335"/>
      <c r="B184" s="335"/>
      <c r="C184" s="335"/>
      <c r="D184" s="336"/>
      <c r="E184" s="336"/>
      <c r="F184" s="336"/>
      <c r="G184" s="336"/>
      <c r="H184" s="336"/>
      <c r="I184" s="336"/>
      <c r="J184" s="336"/>
      <c r="K184" s="336"/>
      <c r="L184" s="343"/>
      <c r="M184" s="335"/>
      <c r="N184" s="335"/>
      <c r="O184" s="335"/>
      <c r="P184" s="331"/>
      <c r="Q184" s="332"/>
      <c r="W184" s="60"/>
    </row>
    <row r="185" spans="1:23" ht="14.25">
      <c r="A185" s="335"/>
      <c r="B185" s="335"/>
      <c r="C185" s="335"/>
      <c r="D185" s="336"/>
      <c r="E185" s="336"/>
      <c r="F185" s="336"/>
      <c r="G185" s="336"/>
      <c r="H185" s="336"/>
      <c r="I185" s="336"/>
      <c r="J185" s="336"/>
      <c r="K185" s="336"/>
      <c r="L185" s="343"/>
      <c r="M185" s="335"/>
      <c r="N185" s="335"/>
      <c r="O185" s="335"/>
      <c r="P185" s="331"/>
      <c r="Q185" s="332"/>
      <c r="W185" s="60"/>
    </row>
    <row r="186" spans="1:23" ht="14.25">
      <c r="A186" s="335"/>
      <c r="B186" s="335"/>
      <c r="C186" s="335"/>
      <c r="D186" s="336"/>
      <c r="E186" s="336"/>
      <c r="F186" s="336"/>
      <c r="G186" s="336"/>
      <c r="H186" s="336"/>
      <c r="I186" s="336"/>
      <c r="J186" s="336"/>
      <c r="K186" s="336"/>
      <c r="L186" s="343"/>
      <c r="M186" s="335"/>
      <c r="N186" s="335"/>
      <c r="O186" s="335"/>
      <c r="P186" s="331"/>
      <c r="Q186" s="332"/>
      <c r="W186" s="60"/>
    </row>
    <row r="187" spans="1:23" ht="14.25">
      <c r="A187" s="335"/>
      <c r="B187" s="335"/>
      <c r="C187" s="335"/>
      <c r="D187" s="336"/>
      <c r="E187" s="336"/>
      <c r="F187" s="336"/>
      <c r="G187" s="336"/>
      <c r="H187" s="336"/>
      <c r="I187" s="336"/>
      <c r="J187" s="336"/>
      <c r="K187" s="336"/>
      <c r="L187" s="343"/>
      <c r="M187" s="335"/>
      <c r="N187" s="335"/>
      <c r="O187" s="335"/>
      <c r="P187" s="331"/>
      <c r="Q187" s="332"/>
      <c r="W187" s="60"/>
    </row>
    <row r="188" spans="1:23" ht="14.25">
      <c r="A188" s="335"/>
      <c r="B188" s="335"/>
      <c r="C188" s="335"/>
      <c r="D188" s="336"/>
      <c r="E188" s="336"/>
      <c r="F188" s="336"/>
      <c r="G188" s="336"/>
      <c r="H188" s="336"/>
      <c r="I188" s="336"/>
      <c r="J188" s="336"/>
      <c r="K188" s="336"/>
      <c r="L188" s="343"/>
      <c r="M188" s="335"/>
      <c r="N188" s="335"/>
      <c r="O188" s="335"/>
      <c r="P188" s="331"/>
      <c r="Q188" s="332"/>
      <c r="W188" s="60"/>
    </row>
    <row r="189" spans="1:23" ht="14.25">
      <c r="A189" s="335"/>
      <c r="B189" s="335"/>
      <c r="C189" s="335"/>
      <c r="D189" s="336"/>
      <c r="E189" s="336"/>
      <c r="F189" s="336"/>
      <c r="G189" s="336"/>
      <c r="H189" s="336"/>
      <c r="I189" s="336"/>
      <c r="J189" s="336"/>
      <c r="K189" s="336"/>
      <c r="L189" s="343"/>
      <c r="M189" s="335"/>
      <c r="N189" s="335"/>
      <c r="O189" s="335"/>
      <c r="P189" s="331"/>
      <c r="Q189" s="332"/>
      <c r="W189" s="60"/>
    </row>
    <row r="190" spans="1:23" ht="14.25">
      <c r="A190" s="335"/>
      <c r="B190" s="335"/>
      <c r="C190" s="335"/>
      <c r="D190" s="336"/>
      <c r="E190" s="336"/>
      <c r="F190" s="336"/>
      <c r="G190" s="336"/>
      <c r="H190" s="336"/>
      <c r="I190" s="336"/>
      <c r="J190" s="336"/>
      <c r="K190" s="336"/>
      <c r="L190" s="343"/>
      <c r="M190" s="335"/>
      <c r="N190" s="335"/>
      <c r="O190" s="335"/>
      <c r="P190" s="331"/>
      <c r="Q190" s="332"/>
      <c r="W190" s="60"/>
    </row>
    <row r="191" spans="1:23" ht="14.25">
      <c r="A191" s="335"/>
      <c r="B191" s="335"/>
      <c r="C191" s="335"/>
      <c r="D191" s="336"/>
      <c r="E191" s="336"/>
      <c r="F191" s="336"/>
      <c r="G191" s="336"/>
      <c r="H191" s="336"/>
      <c r="I191" s="336"/>
      <c r="J191" s="336"/>
      <c r="K191" s="336"/>
      <c r="L191" s="343"/>
      <c r="M191" s="335"/>
      <c r="N191" s="335"/>
      <c r="O191" s="335"/>
      <c r="P191" s="331"/>
      <c r="Q191" s="332"/>
      <c r="W191" s="60"/>
    </row>
    <row r="192" spans="1:23" ht="14.25">
      <c r="A192" s="335"/>
      <c r="B192" s="335"/>
      <c r="C192" s="335"/>
      <c r="D192" s="336"/>
      <c r="E192" s="336"/>
      <c r="F192" s="336"/>
      <c r="G192" s="336"/>
      <c r="H192" s="336"/>
      <c r="I192" s="336"/>
      <c r="J192" s="336"/>
      <c r="K192" s="336"/>
      <c r="L192" s="343"/>
      <c r="M192" s="335"/>
      <c r="N192" s="335"/>
      <c r="O192" s="335"/>
      <c r="P192" s="331"/>
      <c r="Q192" s="332"/>
      <c r="W192" s="60"/>
    </row>
    <row r="193" spans="1:23" ht="14.25">
      <c r="A193" s="335"/>
      <c r="B193" s="335"/>
      <c r="C193" s="335"/>
      <c r="D193" s="336"/>
      <c r="E193" s="336"/>
      <c r="F193" s="336"/>
      <c r="G193" s="336"/>
      <c r="H193" s="336"/>
      <c r="I193" s="336"/>
      <c r="J193" s="336"/>
      <c r="K193" s="336"/>
      <c r="L193" s="343"/>
      <c r="M193" s="335"/>
      <c r="N193" s="335"/>
      <c r="O193" s="335"/>
      <c r="P193" s="331"/>
      <c r="Q193" s="332"/>
      <c r="W193" s="60"/>
    </row>
    <row r="194" spans="1:23" ht="14.25">
      <c r="A194" s="335"/>
      <c r="B194" s="335"/>
      <c r="C194" s="335"/>
      <c r="D194" s="336"/>
      <c r="E194" s="336"/>
      <c r="F194" s="336"/>
      <c r="G194" s="336"/>
      <c r="H194" s="336"/>
      <c r="I194" s="336"/>
      <c r="J194" s="336"/>
      <c r="K194" s="336"/>
      <c r="L194" s="343"/>
      <c r="M194" s="335"/>
      <c r="N194" s="335"/>
      <c r="O194" s="335"/>
      <c r="P194" s="331"/>
      <c r="Q194" s="332"/>
      <c r="W194" s="60"/>
    </row>
    <row r="195" spans="1:23" ht="14.25">
      <c r="A195" s="335"/>
      <c r="B195" s="335"/>
      <c r="C195" s="335"/>
      <c r="D195" s="336"/>
      <c r="E195" s="336"/>
      <c r="F195" s="336"/>
      <c r="G195" s="336"/>
      <c r="H195" s="336"/>
      <c r="I195" s="336"/>
      <c r="J195" s="336"/>
      <c r="K195" s="336"/>
      <c r="L195" s="343"/>
      <c r="M195" s="335"/>
      <c r="N195" s="335"/>
      <c r="O195" s="335"/>
      <c r="P195" s="331"/>
      <c r="Q195" s="332"/>
      <c r="W195" s="60"/>
    </row>
    <row r="196" spans="1:23" ht="14.25">
      <c r="A196" s="335"/>
      <c r="B196" s="335"/>
      <c r="C196" s="335"/>
      <c r="D196" s="336"/>
      <c r="E196" s="336"/>
      <c r="F196" s="336"/>
      <c r="G196" s="336"/>
      <c r="H196" s="336"/>
      <c r="I196" s="336"/>
      <c r="J196" s="336"/>
      <c r="K196" s="336"/>
      <c r="L196" s="343"/>
      <c r="M196" s="335"/>
      <c r="N196" s="335"/>
      <c r="O196" s="335"/>
      <c r="P196" s="331"/>
      <c r="Q196" s="332"/>
      <c r="W196" s="60"/>
    </row>
    <row r="197" spans="1:23" ht="14.25">
      <c r="A197" s="335"/>
      <c r="B197" s="335"/>
      <c r="C197" s="335"/>
      <c r="D197" s="336"/>
      <c r="E197" s="336"/>
      <c r="F197" s="336"/>
      <c r="G197" s="336"/>
      <c r="H197" s="336"/>
      <c r="I197" s="336"/>
      <c r="J197" s="336"/>
      <c r="K197" s="336"/>
      <c r="L197" s="343"/>
      <c r="M197" s="335"/>
      <c r="N197" s="335"/>
      <c r="O197" s="335"/>
      <c r="P197" s="331"/>
      <c r="Q197" s="332"/>
      <c r="W197" s="60"/>
    </row>
    <row r="198" spans="1:23" ht="14.25">
      <c r="A198" s="335"/>
      <c r="B198" s="335"/>
      <c r="C198" s="335"/>
      <c r="D198" s="336"/>
      <c r="E198" s="336"/>
      <c r="F198" s="336"/>
      <c r="G198" s="336"/>
      <c r="H198" s="336"/>
      <c r="I198" s="336"/>
      <c r="J198" s="336"/>
      <c r="K198" s="336"/>
      <c r="L198" s="343"/>
      <c r="M198" s="335"/>
      <c r="N198" s="335"/>
      <c r="O198" s="335"/>
      <c r="P198" s="331"/>
      <c r="Q198" s="332"/>
      <c r="W198" s="60"/>
    </row>
    <row r="199" spans="1:23" ht="14.25">
      <c r="A199" s="335"/>
      <c r="B199" s="335"/>
      <c r="C199" s="335"/>
      <c r="D199" s="336"/>
      <c r="E199" s="336"/>
      <c r="F199" s="336"/>
      <c r="G199" s="336"/>
      <c r="H199" s="336"/>
      <c r="I199" s="336"/>
      <c r="J199" s="336"/>
      <c r="K199" s="336"/>
      <c r="L199" s="343"/>
      <c r="M199" s="335"/>
      <c r="N199" s="335"/>
      <c r="O199" s="335"/>
      <c r="P199" s="331"/>
      <c r="Q199" s="332"/>
      <c r="W199" s="60"/>
    </row>
    <row r="200" spans="1:23" ht="14.25">
      <c r="A200" s="335"/>
      <c r="B200" s="335"/>
      <c r="C200" s="335"/>
      <c r="D200" s="336"/>
      <c r="E200" s="336"/>
      <c r="F200" s="336"/>
      <c r="G200" s="336"/>
      <c r="H200" s="336"/>
      <c r="I200" s="336"/>
      <c r="J200" s="336"/>
      <c r="K200" s="336"/>
      <c r="L200" s="343"/>
      <c r="M200" s="335"/>
      <c r="N200" s="335"/>
      <c r="O200" s="335"/>
      <c r="P200" s="331"/>
      <c r="Q200" s="332"/>
      <c r="W200" s="60"/>
    </row>
    <row r="201" spans="1:23" ht="14.25">
      <c r="A201" s="335"/>
      <c r="B201" s="335"/>
      <c r="C201" s="335"/>
      <c r="D201" s="336"/>
      <c r="E201" s="336"/>
      <c r="F201" s="336"/>
      <c r="G201" s="336"/>
      <c r="H201" s="336"/>
      <c r="I201" s="336"/>
      <c r="J201" s="336"/>
      <c r="K201" s="336"/>
      <c r="L201" s="343"/>
      <c r="M201" s="335"/>
      <c r="N201" s="335"/>
      <c r="O201" s="335"/>
      <c r="P201" s="331"/>
      <c r="Q201" s="332"/>
      <c r="W201" s="60"/>
    </row>
    <row r="202" spans="1:23" ht="14.25">
      <c r="A202" s="335"/>
      <c r="B202" s="335"/>
      <c r="C202" s="335"/>
      <c r="D202" s="336"/>
      <c r="E202" s="336"/>
      <c r="F202" s="336"/>
      <c r="G202" s="336"/>
      <c r="H202" s="336"/>
      <c r="I202" s="336"/>
      <c r="J202" s="336"/>
      <c r="K202" s="336"/>
      <c r="L202" s="343"/>
      <c r="M202" s="335"/>
      <c r="N202" s="335"/>
      <c r="O202" s="335"/>
      <c r="P202" s="331"/>
      <c r="Q202" s="332"/>
      <c r="W202" s="60"/>
    </row>
    <row r="203" spans="1:23" ht="14.25">
      <c r="A203" s="335"/>
      <c r="B203" s="335"/>
      <c r="C203" s="335"/>
      <c r="D203" s="336"/>
      <c r="E203" s="336"/>
      <c r="F203" s="336"/>
      <c r="G203" s="336"/>
      <c r="H203" s="336"/>
      <c r="I203" s="336"/>
      <c r="J203" s="336"/>
      <c r="K203" s="336"/>
      <c r="L203" s="343"/>
      <c r="M203" s="335"/>
      <c r="N203" s="335"/>
      <c r="O203" s="335"/>
      <c r="P203" s="331"/>
      <c r="Q203" s="332"/>
      <c r="W203" s="60"/>
    </row>
    <row r="204" spans="1:23" ht="14.25">
      <c r="A204" s="335"/>
      <c r="B204" s="335"/>
      <c r="C204" s="335"/>
      <c r="D204" s="336"/>
      <c r="E204" s="336"/>
      <c r="F204" s="336"/>
      <c r="G204" s="336"/>
      <c r="H204" s="336"/>
      <c r="I204" s="336"/>
      <c r="J204" s="336"/>
      <c r="K204" s="336"/>
      <c r="L204" s="343"/>
      <c r="M204" s="335"/>
      <c r="N204" s="335"/>
      <c r="O204" s="335"/>
      <c r="P204" s="331"/>
      <c r="Q204" s="332"/>
      <c r="W204" s="60"/>
    </row>
    <row r="205" spans="1:23" ht="14.25">
      <c r="A205" s="335"/>
      <c r="B205" s="335"/>
      <c r="C205" s="335"/>
      <c r="D205" s="336"/>
      <c r="E205" s="336"/>
      <c r="F205" s="336"/>
      <c r="G205" s="336"/>
      <c r="H205" s="336"/>
      <c r="I205" s="336"/>
      <c r="J205" s="336"/>
      <c r="K205" s="336"/>
      <c r="L205" s="343"/>
      <c r="M205" s="335"/>
      <c r="N205" s="335"/>
      <c r="O205" s="335"/>
      <c r="P205" s="331"/>
      <c r="Q205" s="332"/>
      <c r="W205" s="60"/>
    </row>
    <row r="206" spans="1:23" ht="14.25">
      <c r="A206" s="335"/>
      <c r="B206" s="335"/>
      <c r="C206" s="335"/>
      <c r="D206" s="336"/>
      <c r="E206" s="336"/>
      <c r="F206" s="336"/>
      <c r="G206" s="336"/>
      <c r="H206" s="336"/>
      <c r="I206" s="336"/>
      <c r="J206" s="336"/>
      <c r="K206" s="336"/>
      <c r="L206" s="343"/>
      <c r="M206" s="335"/>
      <c r="N206" s="335"/>
      <c r="O206" s="335"/>
      <c r="P206" s="331"/>
      <c r="Q206" s="332"/>
      <c r="W206" s="60"/>
    </row>
    <row r="207" spans="1:23" ht="14.25">
      <c r="A207" s="335"/>
      <c r="B207" s="335"/>
      <c r="C207" s="335"/>
      <c r="D207" s="336"/>
      <c r="E207" s="336"/>
      <c r="F207" s="336"/>
      <c r="G207" s="336"/>
      <c r="H207" s="336"/>
      <c r="I207" s="336"/>
      <c r="J207" s="336"/>
      <c r="K207" s="336"/>
      <c r="L207" s="343"/>
      <c r="M207" s="335"/>
      <c r="N207" s="335"/>
      <c r="O207" s="335"/>
      <c r="P207" s="331"/>
      <c r="Q207" s="332"/>
      <c r="W207" s="60"/>
    </row>
    <row r="208" spans="1:23" ht="14.25">
      <c r="A208" s="335"/>
      <c r="B208" s="335"/>
      <c r="C208" s="335"/>
      <c r="D208" s="336"/>
      <c r="E208" s="336"/>
      <c r="F208" s="336"/>
      <c r="G208" s="336"/>
      <c r="H208" s="336"/>
      <c r="I208" s="336"/>
      <c r="J208" s="336"/>
      <c r="K208" s="336"/>
      <c r="L208" s="343"/>
      <c r="M208" s="335"/>
      <c r="N208" s="335"/>
      <c r="O208" s="335"/>
      <c r="P208" s="331"/>
      <c r="Q208" s="332"/>
      <c r="W208" s="60"/>
    </row>
    <row r="209" spans="1:23" ht="14.25">
      <c r="A209" s="335"/>
      <c r="B209" s="335"/>
      <c r="C209" s="335"/>
      <c r="D209" s="336"/>
      <c r="E209" s="336"/>
      <c r="F209" s="336"/>
      <c r="G209" s="336"/>
      <c r="H209" s="336"/>
      <c r="I209" s="336"/>
      <c r="J209" s="336"/>
      <c r="K209" s="336"/>
      <c r="L209" s="343"/>
      <c r="M209" s="335"/>
      <c r="N209" s="335"/>
      <c r="O209" s="335"/>
      <c r="P209" s="331"/>
      <c r="Q209" s="332"/>
      <c r="W209" s="60"/>
    </row>
    <row r="210" spans="1:23" ht="14.25">
      <c r="A210" s="335"/>
      <c r="B210" s="335"/>
      <c r="C210" s="335"/>
      <c r="D210" s="336"/>
      <c r="E210" s="336"/>
      <c r="F210" s="336"/>
      <c r="G210" s="336"/>
      <c r="H210" s="336"/>
      <c r="I210" s="336"/>
      <c r="J210" s="336"/>
      <c r="K210" s="336"/>
      <c r="L210" s="343"/>
      <c r="M210" s="335"/>
      <c r="N210" s="335"/>
      <c r="O210" s="335"/>
      <c r="P210" s="331"/>
      <c r="Q210" s="332"/>
      <c r="W210" s="60"/>
    </row>
    <row r="211" spans="1:23" ht="14.25">
      <c r="A211" s="335"/>
      <c r="B211" s="335"/>
      <c r="C211" s="335"/>
      <c r="D211" s="336"/>
      <c r="E211" s="336"/>
      <c r="F211" s="336"/>
      <c r="G211" s="336"/>
      <c r="H211" s="336"/>
      <c r="I211" s="336"/>
      <c r="J211" s="336"/>
      <c r="K211" s="336"/>
      <c r="L211" s="343"/>
      <c r="M211" s="335"/>
      <c r="N211" s="335"/>
      <c r="O211" s="335"/>
      <c r="P211" s="331"/>
      <c r="Q211" s="332"/>
      <c r="W211" s="60"/>
    </row>
    <row r="212" spans="1:23" ht="14.25">
      <c r="A212" s="335"/>
      <c r="B212" s="335"/>
      <c r="C212" s="335"/>
      <c r="D212" s="336"/>
      <c r="E212" s="336"/>
      <c r="F212" s="336"/>
      <c r="G212" s="336"/>
      <c r="H212" s="336"/>
      <c r="I212" s="336"/>
      <c r="J212" s="336"/>
      <c r="K212" s="336"/>
      <c r="L212" s="343"/>
      <c r="M212" s="335"/>
      <c r="N212" s="335"/>
      <c r="O212" s="335"/>
      <c r="P212" s="331"/>
      <c r="Q212" s="332"/>
      <c r="W212" s="60"/>
    </row>
    <row r="213" spans="1:23" ht="14.25">
      <c r="A213" s="335"/>
      <c r="B213" s="335"/>
      <c r="C213" s="335"/>
      <c r="D213" s="336"/>
      <c r="E213" s="336"/>
      <c r="F213" s="336"/>
      <c r="G213" s="336"/>
      <c r="H213" s="336"/>
      <c r="I213" s="336"/>
      <c r="J213" s="336"/>
      <c r="K213" s="336"/>
      <c r="L213" s="343"/>
      <c r="M213" s="335"/>
      <c r="N213" s="335"/>
      <c r="O213" s="335"/>
      <c r="P213" s="331"/>
      <c r="Q213" s="332"/>
      <c r="W213" s="60"/>
    </row>
    <row r="214" spans="1:23" ht="14.25">
      <c r="A214" s="335"/>
      <c r="B214" s="335"/>
      <c r="C214" s="335"/>
      <c r="D214" s="336"/>
      <c r="E214" s="336"/>
      <c r="F214" s="336"/>
      <c r="G214" s="336"/>
      <c r="H214" s="336"/>
      <c r="I214" s="336"/>
      <c r="J214" s="336"/>
      <c r="K214" s="336"/>
      <c r="L214" s="343"/>
      <c r="M214" s="335"/>
      <c r="N214" s="335"/>
      <c r="O214" s="335"/>
      <c r="P214" s="331"/>
      <c r="Q214" s="332"/>
      <c r="W214" s="60"/>
    </row>
    <row r="215" spans="1:23" ht="14.25">
      <c r="A215" s="335"/>
      <c r="B215" s="335"/>
      <c r="C215" s="335"/>
      <c r="D215" s="336"/>
      <c r="E215" s="336"/>
      <c r="F215" s="336"/>
      <c r="G215" s="336"/>
      <c r="H215" s="336"/>
      <c r="I215" s="336"/>
      <c r="J215" s="336"/>
      <c r="K215" s="336"/>
      <c r="L215" s="343"/>
      <c r="M215" s="335"/>
      <c r="N215" s="335"/>
      <c r="O215" s="335"/>
      <c r="P215" s="331"/>
      <c r="Q215" s="332"/>
      <c r="W215" s="60"/>
    </row>
    <row r="216" spans="1:23" ht="14.25">
      <c r="A216" s="335"/>
      <c r="B216" s="335"/>
      <c r="C216" s="335"/>
      <c r="D216" s="336"/>
      <c r="E216" s="336"/>
      <c r="F216" s="336"/>
      <c r="G216" s="336"/>
      <c r="H216" s="336"/>
      <c r="I216" s="336"/>
      <c r="J216" s="336"/>
      <c r="K216" s="336"/>
      <c r="L216" s="343"/>
      <c r="M216" s="335"/>
      <c r="N216" s="335"/>
      <c r="O216" s="335"/>
      <c r="P216" s="331"/>
      <c r="Q216" s="332"/>
      <c r="W216" s="60"/>
    </row>
    <row r="217" spans="1:23" ht="14.25">
      <c r="A217" s="335"/>
      <c r="B217" s="335"/>
      <c r="C217" s="335"/>
      <c r="D217" s="336"/>
      <c r="E217" s="336"/>
      <c r="F217" s="336"/>
      <c r="G217" s="336"/>
      <c r="H217" s="336"/>
      <c r="I217" s="336"/>
      <c r="J217" s="336"/>
      <c r="K217" s="336"/>
      <c r="L217" s="343"/>
      <c r="M217" s="335"/>
      <c r="N217" s="335"/>
      <c r="O217" s="335"/>
      <c r="P217" s="331"/>
      <c r="Q217" s="332"/>
      <c r="W217" s="60"/>
    </row>
    <row r="218" spans="1:23" ht="14.25">
      <c r="A218" s="335"/>
      <c r="B218" s="335"/>
      <c r="C218" s="335"/>
      <c r="D218" s="336"/>
      <c r="E218" s="336"/>
      <c r="F218" s="336"/>
      <c r="G218" s="336"/>
      <c r="H218" s="336"/>
      <c r="I218" s="336"/>
      <c r="J218" s="336"/>
      <c r="K218" s="336"/>
      <c r="L218" s="343"/>
      <c r="M218" s="335"/>
      <c r="N218" s="335"/>
      <c r="O218" s="335"/>
      <c r="P218" s="331"/>
      <c r="Q218" s="332"/>
      <c r="W218" s="60"/>
    </row>
    <row r="219" spans="1:23" ht="14.25">
      <c r="A219" s="335"/>
      <c r="B219" s="335"/>
      <c r="C219" s="335"/>
      <c r="D219" s="336"/>
      <c r="E219" s="336"/>
      <c r="F219" s="336"/>
      <c r="G219" s="336"/>
      <c r="H219" s="336"/>
      <c r="I219" s="336"/>
      <c r="J219" s="336"/>
      <c r="K219" s="336"/>
      <c r="L219" s="343"/>
      <c r="M219" s="335"/>
      <c r="N219" s="335"/>
      <c r="O219" s="335"/>
      <c r="P219" s="331"/>
      <c r="Q219" s="332"/>
      <c r="W219" s="60"/>
    </row>
    <row r="220" spans="1:23" ht="14.25">
      <c r="A220" s="335"/>
      <c r="B220" s="335"/>
      <c r="C220" s="335"/>
      <c r="D220" s="336"/>
      <c r="E220" s="336"/>
      <c r="F220" s="336"/>
      <c r="G220" s="336"/>
      <c r="H220" s="336"/>
      <c r="I220" s="336"/>
      <c r="J220" s="336"/>
      <c r="K220" s="336"/>
      <c r="L220" s="343"/>
      <c r="M220" s="335"/>
      <c r="N220" s="335"/>
      <c r="O220" s="335"/>
      <c r="P220" s="331"/>
      <c r="Q220" s="332"/>
      <c r="W220" s="60"/>
    </row>
    <row r="221" spans="1:23" ht="14.25">
      <c r="A221" s="335"/>
      <c r="B221" s="335"/>
      <c r="C221" s="335"/>
      <c r="D221" s="336"/>
      <c r="E221" s="336"/>
      <c r="F221" s="336"/>
      <c r="G221" s="336"/>
      <c r="H221" s="336"/>
      <c r="I221" s="336"/>
      <c r="J221" s="336"/>
      <c r="K221" s="336"/>
      <c r="L221" s="343"/>
      <c r="M221" s="335"/>
      <c r="N221" s="335"/>
      <c r="O221" s="335"/>
      <c r="P221" s="331"/>
      <c r="Q221" s="332"/>
      <c r="W221" s="60"/>
    </row>
    <row r="222" spans="1:23" ht="14.25">
      <c r="A222" s="335"/>
      <c r="B222" s="335"/>
      <c r="C222" s="335"/>
      <c r="D222" s="336"/>
      <c r="E222" s="336"/>
      <c r="F222" s="336"/>
      <c r="G222" s="336"/>
      <c r="H222" s="336"/>
      <c r="I222" s="336"/>
      <c r="J222" s="336"/>
      <c r="K222" s="336"/>
      <c r="L222" s="343"/>
      <c r="M222" s="335"/>
      <c r="N222" s="335"/>
      <c r="O222" s="335"/>
      <c r="P222" s="331"/>
      <c r="Q222" s="332"/>
      <c r="W222" s="60"/>
    </row>
    <row r="223" spans="1:23" ht="14.25">
      <c r="A223" s="335"/>
      <c r="B223" s="335"/>
      <c r="C223" s="335"/>
      <c r="D223" s="336"/>
      <c r="E223" s="336"/>
      <c r="F223" s="336"/>
      <c r="G223" s="336"/>
      <c r="H223" s="336"/>
      <c r="I223" s="336"/>
      <c r="J223" s="336"/>
      <c r="K223" s="336"/>
      <c r="L223" s="343"/>
      <c r="M223" s="335"/>
      <c r="N223" s="335"/>
      <c r="O223" s="335"/>
      <c r="P223" s="331"/>
      <c r="Q223" s="332"/>
      <c r="W223" s="60"/>
    </row>
    <row r="224" spans="1:23" ht="14.25">
      <c r="A224" s="335"/>
      <c r="B224" s="335"/>
      <c r="C224" s="335"/>
      <c r="D224" s="336"/>
      <c r="E224" s="336"/>
      <c r="F224" s="336"/>
      <c r="G224" s="336"/>
      <c r="H224" s="336"/>
      <c r="I224" s="336"/>
      <c r="J224" s="336"/>
      <c r="K224" s="336"/>
      <c r="L224" s="343"/>
      <c r="M224" s="335"/>
      <c r="N224" s="335"/>
      <c r="O224" s="335"/>
      <c r="P224" s="331"/>
      <c r="Q224" s="332"/>
      <c r="W224" s="60"/>
    </row>
    <row r="225" spans="1:23" ht="14.25">
      <c r="A225" s="335"/>
      <c r="B225" s="335"/>
      <c r="C225" s="335"/>
      <c r="D225" s="336"/>
      <c r="E225" s="336"/>
      <c r="F225" s="336"/>
      <c r="G225" s="336"/>
      <c r="H225" s="336"/>
      <c r="I225" s="336"/>
      <c r="J225" s="336"/>
      <c r="K225" s="336"/>
      <c r="L225" s="343"/>
      <c r="M225" s="335"/>
      <c r="N225" s="335"/>
      <c r="O225" s="335"/>
      <c r="P225" s="331"/>
      <c r="Q225" s="332"/>
      <c r="W225" s="60"/>
    </row>
    <row r="226" spans="1:23" ht="14.25">
      <c r="A226" s="335"/>
      <c r="B226" s="335"/>
      <c r="C226" s="335"/>
      <c r="D226" s="336"/>
      <c r="E226" s="336"/>
      <c r="F226" s="336"/>
      <c r="G226" s="336"/>
      <c r="H226" s="336"/>
      <c r="I226" s="336"/>
      <c r="J226" s="336"/>
      <c r="K226" s="336"/>
      <c r="L226" s="343"/>
      <c r="M226" s="335"/>
      <c r="N226" s="335"/>
      <c r="O226" s="335"/>
      <c r="P226" s="331"/>
      <c r="Q226" s="332"/>
      <c r="W226" s="60"/>
    </row>
    <row r="227" spans="1:23" ht="14.25">
      <c r="A227" s="335"/>
      <c r="B227" s="335"/>
      <c r="C227" s="335"/>
      <c r="D227" s="336"/>
      <c r="E227" s="336"/>
      <c r="F227" s="336"/>
      <c r="G227" s="336"/>
      <c r="H227" s="336"/>
      <c r="I227" s="336"/>
      <c r="J227" s="336"/>
      <c r="K227" s="336"/>
      <c r="L227" s="343"/>
      <c r="M227" s="335"/>
      <c r="N227" s="335"/>
      <c r="O227" s="335"/>
      <c r="P227" s="331"/>
      <c r="Q227" s="332"/>
      <c r="W227" s="60"/>
    </row>
    <row r="228" spans="1:23" ht="14.25">
      <c r="A228" s="335"/>
      <c r="B228" s="335"/>
      <c r="C228" s="335"/>
      <c r="D228" s="336"/>
      <c r="E228" s="336"/>
      <c r="F228" s="336"/>
      <c r="G228" s="336"/>
      <c r="H228" s="336"/>
      <c r="I228" s="336"/>
      <c r="J228" s="336"/>
      <c r="K228" s="336"/>
      <c r="L228" s="343"/>
      <c r="M228" s="335"/>
      <c r="N228" s="335"/>
      <c r="O228" s="335"/>
      <c r="P228" s="331"/>
      <c r="Q228" s="332"/>
      <c r="W228" s="60"/>
    </row>
    <row r="229" spans="1:23" ht="14.25">
      <c r="A229" s="335"/>
      <c r="B229" s="335"/>
      <c r="C229" s="335"/>
      <c r="D229" s="336"/>
      <c r="E229" s="336"/>
      <c r="F229" s="336"/>
      <c r="G229" s="336"/>
      <c r="H229" s="336"/>
      <c r="I229" s="336"/>
      <c r="J229" s="336"/>
      <c r="K229" s="336"/>
      <c r="L229" s="343"/>
      <c r="M229" s="335"/>
      <c r="N229" s="335"/>
      <c r="O229" s="335"/>
      <c r="P229" s="331"/>
      <c r="Q229" s="332"/>
      <c r="W229" s="60"/>
    </row>
    <row r="230" spans="1:23" ht="14.25">
      <c r="A230" s="335"/>
      <c r="B230" s="335"/>
      <c r="C230" s="335"/>
      <c r="D230" s="336"/>
      <c r="E230" s="336"/>
      <c r="F230" s="336"/>
      <c r="G230" s="336"/>
      <c r="H230" s="336"/>
      <c r="I230" s="336"/>
      <c r="J230" s="336"/>
      <c r="K230" s="336"/>
      <c r="L230" s="343"/>
      <c r="M230" s="335"/>
      <c r="N230" s="335"/>
      <c r="O230" s="335"/>
      <c r="P230" s="331"/>
      <c r="Q230" s="332"/>
      <c r="W230" s="60"/>
    </row>
    <row r="231" spans="1:23" ht="14.25">
      <c r="A231" s="335"/>
      <c r="B231" s="335"/>
      <c r="C231" s="335"/>
      <c r="D231" s="336"/>
      <c r="E231" s="336"/>
      <c r="F231" s="336"/>
      <c r="G231" s="336"/>
      <c r="H231" s="336"/>
      <c r="I231" s="336"/>
      <c r="J231" s="336"/>
      <c r="K231" s="336"/>
      <c r="L231" s="343"/>
      <c r="M231" s="335"/>
      <c r="N231" s="335"/>
      <c r="O231" s="335"/>
      <c r="P231" s="331"/>
      <c r="Q231" s="332"/>
      <c r="W231" s="60"/>
    </row>
    <row r="232" spans="1:23" ht="14.25">
      <c r="A232" s="335"/>
      <c r="B232" s="335"/>
      <c r="C232" s="335"/>
      <c r="D232" s="336"/>
      <c r="E232" s="336"/>
      <c r="F232" s="336"/>
      <c r="G232" s="336"/>
      <c r="H232" s="336"/>
      <c r="I232" s="336"/>
      <c r="J232" s="336"/>
      <c r="K232" s="336"/>
      <c r="L232" s="343"/>
      <c r="M232" s="335"/>
      <c r="N232" s="335"/>
      <c r="O232" s="335"/>
      <c r="P232" s="331"/>
      <c r="Q232" s="332"/>
      <c r="W232" s="60"/>
    </row>
    <row r="233" spans="1:23" ht="14.25">
      <c r="A233" s="335"/>
      <c r="B233" s="335"/>
      <c r="C233" s="335"/>
      <c r="D233" s="336"/>
      <c r="E233" s="336"/>
      <c r="F233" s="336"/>
      <c r="G233" s="336"/>
      <c r="H233" s="336"/>
      <c r="I233" s="336"/>
      <c r="J233" s="336"/>
      <c r="K233" s="336"/>
      <c r="L233" s="343"/>
      <c r="M233" s="335"/>
      <c r="N233" s="335"/>
      <c r="O233" s="335"/>
      <c r="P233" s="331"/>
      <c r="Q233" s="332"/>
      <c r="W233" s="60"/>
    </row>
    <row r="234" spans="1:23" ht="14.25">
      <c r="A234" s="335"/>
      <c r="B234" s="335"/>
      <c r="C234" s="335"/>
      <c r="D234" s="336"/>
      <c r="E234" s="336"/>
      <c r="F234" s="336"/>
      <c r="G234" s="336"/>
      <c r="H234" s="336"/>
      <c r="I234" s="336"/>
      <c r="J234" s="336"/>
      <c r="K234" s="336"/>
      <c r="L234" s="343"/>
      <c r="M234" s="335"/>
      <c r="N234" s="335"/>
      <c r="O234" s="335"/>
      <c r="P234" s="331"/>
      <c r="Q234" s="332"/>
      <c r="W234" s="60"/>
    </row>
    <row r="235" spans="1:23" ht="14.25">
      <c r="A235" s="335"/>
      <c r="B235" s="335"/>
      <c r="C235" s="335"/>
      <c r="D235" s="336"/>
      <c r="E235" s="336"/>
      <c r="F235" s="336"/>
      <c r="G235" s="336"/>
      <c r="H235" s="336"/>
      <c r="I235" s="336"/>
      <c r="J235" s="336"/>
      <c r="K235" s="336"/>
      <c r="L235" s="343"/>
      <c r="M235" s="335"/>
      <c r="N235" s="335"/>
      <c r="O235" s="335"/>
      <c r="P235" s="331"/>
      <c r="Q235" s="332"/>
      <c r="W235" s="60"/>
    </row>
    <row r="236" spans="1:23" ht="14.25">
      <c r="A236" s="335"/>
      <c r="B236" s="335"/>
      <c r="C236" s="335"/>
      <c r="D236" s="336"/>
      <c r="E236" s="336"/>
      <c r="F236" s="336"/>
      <c r="G236" s="336"/>
      <c r="H236" s="336"/>
      <c r="I236" s="336"/>
      <c r="J236" s="336"/>
      <c r="K236" s="336"/>
      <c r="L236" s="343"/>
      <c r="M236" s="335"/>
      <c r="N236" s="335"/>
      <c r="O236" s="335"/>
      <c r="P236" s="331"/>
      <c r="Q236" s="332"/>
      <c r="W236" s="60"/>
    </row>
    <row r="237" spans="1:23" ht="14.25">
      <c r="A237" s="335"/>
      <c r="B237" s="335"/>
      <c r="C237" s="335"/>
      <c r="D237" s="336"/>
      <c r="E237" s="336"/>
      <c r="F237" s="336"/>
      <c r="G237" s="336"/>
      <c r="H237" s="336"/>
      <c r="I237" s="336"/>
      <c r="J237" s="336"/>
      <c r="K237" s="336"/>
      <c r="L237" s="343"/>
      <c r="M237" s="335"/>
      <c r="N237" s="335"/>
      <c r="O237" s="335"/>
      <c r="P237" s="331"/>
      <c r="Q237" s="332"/>
      <c r="W237" s="60"/>
    </row>
    <row r="238" spans="1:23" ht="14.25">
      <c r="A238" s="335"/>
      <c r="B238" s="335"/>
      <c r="C238" s="335"/>
      <c r="D238" s="336"/>
      <c r="E238" s="336"/>
      <c r="F238" s="336"/>
      <c r="G238" s="336"/>
      <c r="H238" s="336"/>
      <c r="I238" s="336"/>
      <c r="J238" s="336"/>
      <c r="K238" s="336"/>
      <c r="L238" s="343"/>
      <c r="M238" s="335"/>
      <c r="N238" s="335"/>
      <c r="O238" s="335"/>
      <c r="P238" s="331"/>
      <c r="Q238" s="332"/>
      <c r="W238" s="60"/>
    </row>
    <row r="239" spans="1:23" ht="14.25">
      <c r="A239" s="335"/>
      <c r="B239" s="335"/>
      <c r="C239" s="335"/>
      <c r="D239" s="336"/>
      <c r="E239" s="336"/>
      <c r="F239" s="336"/>
      <c r="G239" s="336"/>
      <c r="H239" s="336"/>
      <c r="I239" s="336"/>
      <c r="J239" s="336"/>
      <c r="K239" s="336"/>
      <c r="L239" s="343"/>
      <c r="M239" s="335"/>
      <c r="N239" s="335"/>
      <c r="O239" s="335"/>
      <c r="P239" s="331"/>
      <c r="Q239" s="332"/>
      <c r="W239" s="60"/>
    </row>
    <row r="240" spans="1:23" ht="14.25">
      <c r="A240" s="335"/>
      <c r="B240" s="335"/>
      <c r="C240" s="335"/>
      <c r="D240" s="336"/>
      <c r="E240" s="336"/>
      <c r="F240" s="336"/>
      <c r="G240" s="336"/>
      <c r="H240" s="336"/>
      <c r="I240" s="336"/>
      <c r="J240" s="336"/>
      <c r="K240" s="336"/>
      <c r="L240" s="343"/>
      <c r="M240" s="335"/>
      <c r="N240" s="335"/>
      <c r="O240" s="335"/>
      <c r="P240" s="331"/>
      <c r="Q240" s="332"/>
      <c r="W240" s="60"/>
    </row>
    <row r="241" spans="1:23" ht="14.25">
      <c r="A241" s="335"/>
      <c r="B241" s="335"/>
      <c r="C241" s="335"/>
      <c r="D241" s="336"/>
      <c r="E241" s="336"/>
      <c r="F241" s="336"/>
      <c r="G241" s="336"/>
      <c r="H241" s="336"/>
      <c r="I241" s="336"/>
      <c r="J241" s="336"/>
      <c r="K241" s="336"/>
      <c r="L241" s="343"/>
      <c r="M241" s="335"/>
      <c r="N241" s="335"/>
      <c r="O241" s="335"/>
      <c r="P241" s="331"/>
      <c r="Q241" s="332"/>
      <c r="W241" s="60"/>
    </row>
    <row r="242" spans="1:23" ht="14.25">
      <c r="A242" s="335"/>
      <c r="B242" s="335"/>
      <c r="C242" s="335"/>
      <c r="D242" s="336"/>
      <c r="E242" s="336"/>
      <c r="F242" s="336"/>
      <c r="G242" s="336"/>
      <c r="H242" s="336"/>
      <c r="I242" s="336"/>
      <c r="J242" s="336"/>
      <c r="K242" s="336"/>
      <c r="L242" s="343"/>
      <c r="M242" s="335"/>
      <c r="N242" s="335"/>
      <c r="O242" s="335"/>
      <c r="P242" s="331"/>
      <c r="Q242" s="332"/>
      <c r="W242" s="60"/>
    </row>
    <row r="243" spans="1:23" ht="14.25">
      <c r="A243" s="335"/>
      <c r="B243" s="335"/>
      <c r="C243" s="335"/>
      <c r="D243" s="336"/>
      <c r="E243" s="336"/>
      <c r="F243" s="336"/>
      <c r="G243" s="336"/>
      <c r="H243" s="336"/>
      <c r="I243" s="336"/>
      <c r="J243" s="336"/>
      <c r="K243" s="336"/>
      <c r="L243" s="343"/>
      <c r="M243" s="335"/>
      <c r="N243" s="335"/>
      <c r="O243" s="335"/>
      <c r="P243" s="331"/>
      <c r="Q243" s="332"/>
      <c r="W243" s="60"/>
    </row>
    <row r="244" spans="1:23" ht="14.25">
      <c r="A244" s="335"/>
      <c r="B244" s="335"/>
      <c r="C244" s="335"/>
      <c r="D244" s="336"/>
      <c r="E244" s="336"/>
      <c r="F244" s="336"/>
      <c r="G244" s="336"/>
      <c r="H244" s="336"/>
      <c r="I244" s="336"/>
      <c r="J244" s="336"/>
      <c r="K244" s="336"/>
      <c r="L244" s="343"/>
      <c r="M244" s="335"/>
      <c r="N244" s="335"/>
      <c r="O244" s="335"/>
      <c r="P244" s="331"/>
      <c r="Q244" s="332"/>
      <c r="W244" s="60"/>
    </row>
    <row r="245" spans="1:23" ht="14.25">
      <c r="A245" s="335"/>
      <c r="B245" s="335"/>
      <c r="C245" s="335"/>
      <c r="D245" s="336"/>
      <c r="E245" s="336"/>
      <c r="F245" s="336"/>
      <c r="G245" s="336"/>
      <c r="H245" s="336"/>
      <c r="I245" s="336"/>
      <c r="J245" s="336"/>
      <c r="K245" s="336"/>
      <c r="L245" s="343"/>
      <c r="M245" s="335"/>
      <c r="N245" s="335"/>
      <c r="O245" s="335"/>
      <c r="P245" s="331"/>
      <c r="Q245" s="332"/>
      <c r="W245" s="60"/>
    </row>
    <row r="246" spans="1:23" ht="14.25">
      <c r="A246" s="335"/>
      <c r="B246" s="335"/>
      <c r="C246" s="335"/>
      <c r="D246" s="336"/>
      <c r="E246" s="336"/>
      <c r="F246" s="336"/>
      <c r="G246" s="336"/>
      <c r="H246" s="336"/>
      <c r="I246" s="336"/>
      <c r="J246" s="336"/>
      <c r="K246" s="336"/>
      <c r="L246" s="343"/>
      <c r="M246" s="335"/>
      <c r="N246" s="335"/>
      <c r="O246" s="335"/>
      <c r="P246" s="331"/>
      <c r="Q246" s="332"/>
      <c r="W246" s="60"/>
    </row>
    <row r="247" spans="1:23" ht="14.25">
      <c r="A247" s="335"/>
      <c r="B247" s="335"/>
      <c r="C247" s="335"/>
      <c r="D247" s="336"/>
      <c r="E247" s="336"/>
      <c r="F247" s="336"/>
      <c r="G247" s="336"/>
      <c r="H247" s="336"/>
      <c r="I247" s="336"/>
      <c r="J247" s="336"/>
      <c r="K247" s="336"/>
      <c r="L247" s="343"/>
      <c r="M247" s="335"/>
      <c r="N247" s="335"/>
      <c r="O247" s="335"/>
      <c r="P247" s="331"/>
      <c r="Q247" s="332"/>
      <c r="W247" s="60"/>
    </row>
    <row r="248" spans="1:23" ht="14.25">
      <c r="A248" s="335"/>
      <c r="B248" s="335"/>
      <c r="C248" s="335"/>
      <c r="D248" s="336"/>
      <c r="E248" s="336"/>
      <c r="F248" s="336"/>
      <c r="G248" s="336"/>
      <c r="H248" s="336"/>
      <c r="I248" s="336"/>
      <c r="J248" s="336"/>
      <c r="K248" s="336"/>
      <c r="L248" s="343"/>
      <c r="M248" s="335"/>
      <c r="N248" s="335"/>
      <c r="O248" s="335"/>
      <c r="P248" s="331"/>
      <c r="Q248" s="332"/>
      <c r="W248" s="60"/>
    </row>
    <row r="249" spans="1:23" ht="14.25">
      <c r="A249" s="335"/>
      <c r="B249" s="335"/>
      <c r="C249" s="335"/>
      <c r="D249" s="336"/>
      <c r="E249" s="336"/>
      <c r="F249" s="336"/>
      <c r="G249" s="336"/>
      <c r="H249" s="336"/>
      <c r="I249" s="336"/>
      <c r="J249" s="336"/>
      <c r="K249" s="336"/>
      <c r="L249" s="343"/>
      <c r="M249" s="335"/>
      <c r="N249" s="335"/>
      <c r="O249" s="335"/>
      <c r="P249" s="331"/>
      <c r="Q249" s="332"/>
      <c r="W249" s="60"/>
    </row>
    <row r="250" spans="1:23" ht="14.25">
      <c r="A250" s="335"/>
      <c r="B250" s="335"/>
      <c r="C250" s="335"/>
      <c r="D250" s="336"/>
      <c r="E250" s="336"/>
      <c r="F250" s="336"/>
      <c r="G250" s="336"/>
      <c r="H250" s="336"/>
      <c r="I250" s="336"/>
      <c r="J250" s="336"/>
      <c r="K250" s="336"/>
      <c r="L250" s="343"/>
      <c r="M250" s="335"/>
      <c r="N250" s="335"/>
      <c r="O250" s="335"/>
      <c r="P250" s="331"/>
      <c r="Q250" s="332"/>
      <c r="W250" s="60"/>
    </row>
    <row r="251" spans="1:23" ht="14.25">
      <c r="A251" s="335"/>
      <c r="B251" s="335"/>
      <c r="C251" s="335"/>
      <c r="D251" s="336"/>
      <c r="E251" s="336"/>
      <c r="F251" s="336"/>
      <c r="G251" s="336"/>
      <c r="H251" s="336"/>
      <c r="I251" s="336"/>
      <c r="J251" s="336"/>
      <c r="K251" s="336"/>
      <c r="L251" s="343"/>
      <c r="M251" s="335"/>
      <c r="N251" s="335"/>
      <c r="O251" s="335"/>
      <c r="P251" s="331"/>
      <c r="Q251" s="332"/>
      <c r="W251" s="60"/>
    </row>
    <row r="252" spans="1:23" ht="14.25">
      <c r="A252" s="335"/>
      <c r="B252" s="335"/>
      <c r="C252" s="335"/>
      <c r="D252" s="336"/>
      <c r="E252" s="336"/>
      <c r="F252" s="336"/>
      <c r="G252" s="336"/>
      <c r="H252" s="336"/>
      <c r="I252" s="336"/>
      <c r="J252" s="336"/>
      <c r="K252" s="336"/>
      <c r="L252" s="343"/>
      <c r="M252" s="335"/>
      <c r="N252" s="335"/>
      <c r="O252" s="335"/>
      <c r="P252" s="331"/>
      <c r="Q252" s="332"/>
      <c r="W252" s="60"/>
    </row>
    <row r="253" spans="1:23" ht="14.25">
      <c r="A253" s="335"/>
      <c r="B253" s="335"/>
      <c r="C253" s="335"/>
      <c r="D253" s="336"/>
      <c r="E253" s="336"/>
      <c r="F253" s="336"/>
      <c r="G253" s="336"/>
      <c r="H253" s="336"/>
      <c r="I253" s="336"/>
      <c r="J253" s="336"/>
      <c r="K253" s="336"/>
      <c r="L253" s="343"/>
      <c r="M253" s="335"/>
      <c r="N253" s="335"/>
      <c r="O253" s="335"/>
      <c r="P253" s="331"/>
      <c r="Q253" s="332"/>
      <c r="W253" s="60"/>
    </row>
    <row r="254" spans="1:23" ht="14.25">
      <c r="A254" s="335"/>
      <c r="B254" s="335"/>
      <c r="C254" s="335"/>
      <c r="D254" s="336"/>
      <c r="E254" s="336"/>
      <c r="F254" s="336"/>
      <c r="G254" s="336"/>
      <c r="H254" s="336"/>
      <c r="I254" s="336"/>
      <c r="J254" s="336"/>
      <c r="K254" s="336"/>
      <c r="L254" s="343"/>
      <c r="M254" s="335"/>
      <c r="N254" s="335"/>
      <c r="O254" s="335"/>
      <c r="P254" s="331"/>
      <c r="Q254" s="332"/>
      <c r="W254" s="60"/>
    </row>
    <row r="255" spans="1:23" ht="14.25">
      <c r="A255" s="335"/>
      <c r="B255" s="335"/>
      <c r="C255" s="335"/>
      <c r="D255" s="336"/>
      <c r="E255" s="336"/>
      <c r="F255" s="336"/>
      <c r="G255" s="336"/>
      <c r="H255" s="336"/>
      <c r="I255" s="336"/>
      <c r="J255" s="336"/>
      <c r="K255" s="336"/>
      <c r="L255" s="343"/>
      <c r="M255" s="335"/>
      <c r="N255" s="335"/>
      <c r="O255" s="335"/>
      <c r="P255" s="331"/>
      <c r="Q255" s="332"/>
      <c r="W255" s="60"/>
    </row>
    <row r="256" spans="1:23" ht="14.25">
      <c r="A256" s="335"/>
      <c r="B256" s="335"/>
      <c r="C256" s="335"/>
      <c r="D256" s="336"/>
      <c r="E256" s="336"/>
      <c r="F256" s="336"/>
      <c r="G256" s="336"/>
      <c r="H256" s="336"/>
      <c r="I256" s="336"/>
      <c r="J256" s="336"/>
      <c r="K256" s="336"/>
      <c r="L256" s="343"/>
      <c r="M256" s="335"/>
      <c r="N256" s="335"/>
      <c r="O256" s="335"/>
      <c r="P256" s="331"/>
      <c r="Q256" s="332"/>
      <c r="W256" s="60"/>
    </row>
    <row r="257" spans="1:23" ht="14.25">
      <c r="A257" s="335"/>
      <c r="B257" s="335"/>
      <c r="C257" s="335"/>
      <c r="D257" s="336"/>
      <c r="E257" s="336"/>
      <c r="F257" s="336"/>
      <c r="G257" s="336"/>
      <c r="H257" s="336"/>
      <c r="I257" s="336"/>
      <c r="J257" s="336"/>
      <c r="K257" s="336"/>
      <c r="L257" s="343"/>
      <c r="M257" s="335"/>
      <c r="N257" s="335"/>
      <c r="O257" s="335"/>
      <c r="P257" s="331"/>
      <c r="Q257" s="332"/>
      <c r="W257" s="60"/>
    </row>
    <row r="258" spans="1:23" ht="14.25">
      <c r="A258" s="335"/>
      <c r="B258" s="335"/>
      <c r="C258" s="335"/>
      <c r="D258" s="336"/>
      <c r="E258" s="336"/>
      <c r="F258" s="336"/>
      <c r="G258" s="336"/>
      <c r="H258" s="336"/>
      <c r="I258" s="336"/>
      <c r="J258" s="336"/>
      <c r="K258" s="336"/>
      <c r="L258" s="343"/>
      <c r="M258" s="335"/>
      <c r="N258" s="335"/>
      <c r="O258" s="335"/>
      <c r="P258" s="331"/>
      <c r="Q258" s="332"/>
      <c r="W258" s="60"/>
    </row>
    <row r="259" spans="1:23" ht="14.25">
      <c r="A259" s="335"/>
      <c r="B259" s="335"/>
      <c r="C259" s="335"/>
      <c r="D259" s="336"/>
      <c r="E259" s="336"/>
      <c r="F259" s="336"/>
      <c r="G259" s="336"/>
      <c r="H259" s="336"/>
      <c r="I259" s="336"/>
      <c r="J259" s="336"/>
      <c r="K259" s="336"/>
      <c r="L259" s="343"/>
      <c r="M259" s="335"/>
      <c r="N259" s="335"/>
      <c r="O259" s="335"/>
      <c r="P259" s="331"/>
      <c r="Q259" s="332"/>
      <c r="W259" s="60"/>
    </row>
    <row r="260" spans="1:23" ht="14.25">
      <c r="A260" s="335"/>
      <c r="B260" s="335"/>
      <c r="C260" s="335"/>
      <c r="D260" s="336"/>
      <c r="E260" s="336"/>
      <c r="F260" s="336"/>
      <c r="G260" s="336"/>
      <c r="H260" s="336"/>
      <c r="I260" s="336"/>
      <c r="J260" s="336"/>
      <c r="K260" s="336"/>
      <c r="L260" s="343"/>
      <c r="M260" s="335"/>
      <c r="N260" s="335"/>
      <c r="O260" s="335"/>
      <c r="P260" s="331"/>
      <c r="Q260" s="332"/>
      <c r="W260" s="60"/>
    </row>
    <row r="261" spans="1:23" ht="14.25">
      <c r="A261" s="335"/>
      <c r="B261" s="335"/>
      <c r="C261" s="335"/>
      <c r="D261" s="336"/>
      <c r="E261" s="336"/>
      <c r="F261" s="336"/>
      <c r="G261" s="336"/>
      <c r="H261" s="336"/>
      <c r="I261" s="336"/>
      <c r="J261" s="336"/>
      <c r="K261" s="336"/>
      <c r="L261" s="343"/>
      <c r="M261" s="335"/>
      <c r="N261" s="335"/>
      <c r="O261" s="335"/>
      <c r="P261" s="331"/>
      <c r="Q261" s="332"/>
      <c r="W261" s="60"/>
    </row>
    <row r="262" spans="1:23" ht="14.25">
      <c r="A262" s="335"/>
      <c r="B262" s="335"/>
      <c r="C262" s="335"/>
      <c r="D262" s="336"/>
      <c r="E262" s="336"/>
      <c r="F262" s="336"/>
      <c r="G262" s="336"/>
      <c r="H262" s="336"/>
      <c r="I262" s="336"/>
      <c r="J262" s="336"/>
      <c r="K262" s="336"/>
      <c r="L262" s="343"/>
      <c r="M262" s="335"/>
      <c r="N262" s="335"/>
      <c r="O262" s="335"/>
      <c r="P262" s="331"/>
      <c r="Q262" s="332"/>
      <c r="W262" s="60"/>
    </row>
    <row r="263" spans="1:23" ht="14.25">
      <c r="A263" s="335"/>
      <c r="B263" s="335"/>
      <c r="C263" s="335"/>
      <c r="D263" s="336"/>
      <c r="E263" s="336"/>
      <c r="F263" s="336"/>
      <c r="G263" s="336"/>
      <c r="H263" s="336"/>
      <c r="I263" s="336"/>
      <c r="J263" s="336"/>
      <c r="K263" s="336"/>
      <c r="L263" s="343"/>
      <c r="M263" s="335"/>
      <c r="N263" s="335"/>
      <c r="O263" s="335"/>
      <c r="P263" s="331"/>
      <c r="Q263" s="332"/>
      <c r="W263" s="60"/>
    </row>
    <row r="264" spans="1:23" ht="14.25">
      <c r="A264" s="335"/>
      <c r="B264" s="335"/>
      <c r="C264" s="335"/>
      <c r="D264" s="336"/>
      <c r="E264" s="336"/>
      <c r="F264" s="336"/>
      <c r="G264" s="336"/>
      <c r="H264" s="336"/>
      <c r="I264" s="336"/>
      <c r="J264" s="336"/>
      <c r="K264" s="336"/>
      <c r="L264" s="343"/>
      <c r="M264" s="335"/>
      <c r="N264" s="335"/>
      <c r="O264" s="335"/>
      <c r="P264" s="331"/>
      <c r="Q264" s="332"/>
      <c r="W264" s="60"/>
    </row>
    <row r="265" spans="1:23" ht="14.25">
      <c r="A265" s="335"/>
      <c r="B265" s="335"/>
      <c r="C265" s="335"/>
      <c r="D265" s="336"/>
      <c r="E265" s="336"/>
      <c r="F265" s="336"/>
      <c r="G265" s="336"/>
      <c r="H265" s="336"/>
      <c r="I265" s="336"/>
      <c r="J265" s="336"/>
      <c r="K265" s="336"/>
      <c r="L265" s="343"/>
      <c r="M265" s="335"/>
      <c r="N265" s="335"/>
      <c r="O265" s="335"/>
      <c r="P265" s="331"/>
      <c r="Q265" s="332"/>
      <c r="W265" s="60"/>
    </row>
    <row r="266" spans="1:23" ht="14.25">
      <c r="A266" s="335"/>
      <c r="B266" s="335"/>
      <c r="C266" s="335"/>
      <c r="D266" s="336"/>
      <c r="E266" s="336"/>
      <c r="F266" s="336"/>
      <c r="G266" s="336"/>
      <c r="H266" s="336"/>
      <c r="I266" s="336"/>
      <c r="J266" s="336"/>
      <c r="K266" s="336"/>
      <c r="L266" s="343"/>
      <c r="M266" s="335"/>
      <c r="N266" s="335"/>
      <c r="O266" s="335"/>
      <c r="P266" s="331"/>
      <c r="Q266" s="332"/>
      <c r="W266" s="60"/>
    </row>
    <row r="267" spans="1:23" ht="14.25">
      <c r="A267" s="335"/>
      <c r="B267" s="335"/>
      <c r="C267" s="335"/>
      <c r="D267" s="336"/>
      <c r="E267" s="336"/>
      <c r="F267" s="336"/>
      <c r="G267" s="336"/>
      <c r="H267" s="336"/>
      <c r="I267" s="336"/>
      <c r="J267" s="336"/>
      <c r="K267" s="336"/>
      <c r="L267" s="343"/>
      <c r="M267" s="335"/>
      <c r="N267" s="335"/>
      <c r="O267" s="335"/>
      <c r="P267" s="331"/>
      <c r="Q267" s="332"/>
      <c r="W267" s="60"/>
    </row>
    <row r="268" spans="1:23" ht="14.25">
      <c r="A268" s="335"/>
      <c r="B268" s="335"/>
      <c r="C268" s="335"/>
      <c r="D268" s="336"/>
      <c r="E268" s="336"/>
      <c r="F268" s="336"/>
      <c r="G268" s="336"/>
      <c r="H268" s="336"/>
      <c r="I268" s="336"/>
      <c r="J268" s="336"/>
      <c r="K268" s="336"/>
      <c r="L268" s="343"/>
      <c r="M268" s="335"/>
      <c r="N268" s="335"/>
      <c r="O268" s="335"/>
      <c r="P268" s="331"/>
      <c r="Q268" s="332"/>
      <c r="W268" s="60"/>
    </row>
    <row r="269" spans="1:23" ht="14.25">
      <c r="A269" s="335"/>
      <c r="B269" s="335"/>
      <c r="C269" s="335"/>
      <c r="D269" s="336"/>
      <c r="E269" s="336"/>
      <c r="F269" s="336"/>
      <c r="G269" s="336"/>
      <c r="H269" s="336"/>
      <c r="I269" s="336"/>
      <c r="J269" s="336"/>
      <c r="K269" s="336"/>
      <c r="L269" s="343"/>
      <c r="M269" s="335"/>
      <c r="N269" s="335"/>
      <c r="O269" s="335"/>
      <c r="P269" s="331"/>
      <c r="Q269" s="332"/>
      <c r="W269" s="60"/>
    </row>
    <row r="270" spans="1:23" ht="14.25">
      <c r="A270" s="335"/>
      <c r="B270" s="335"/>
      <c r="C270" s="335"/>
      <c r="D270" s="336"/>
      <c r="E270" s="336"/>
      <c r="F270" s="336"/>
      <c r="G270" s="336"/>
      <c r="H270" s="336"/>
      <c r="I270" s="336"/>
      <c r="J270" s="336"/>
      <c r="K270" s="336"/>
      <c r="L270" s="343"/>
      <c r="M270" s="335"/>
      <c r="N270" s="335"/>
      <c r="O270" s="335"/>
      <c r="P270" s="331"/>
      <c r="Q270" s="332"/>
      <c r="W270" s="60"/>
    </row>
    <row r="271" spans="1:23" ht="14.25">
      <c r="A271" s="335"/>
      <c r="B271" s="335"/>
      <c r="C271" s="335"/>
      <c r="D271" s="336"/>
      <c r="E271" s="336"/>
      <c r="F271" s="336"/>
      <c r="G271" s="336"/>
      <c r="H271" s="336"/>
      <c r="I271" s="336"/>
      <c r="J271" s="336"/>
      <c r="K271" s="336"/>
      <c r="L271" s="343"/>
      <c r="M271" s="335"/>
      <c r="N271" s="335"/>
      <c r="O271" s="335"/>
      <c r="P271" s="331"/>
      <c r="Q271" s="332"/>
      <c r="W271" s="60"/>
    </row>
    <row r="272" spans="1:23" ht="14.25">
      <c r="A272" s="335"/>
      <c r="B272" s="335"/>
      <c r="C272" s="335"/>
      <c r="D272" s="336"/>
      <c r="E272" s="336"/>
      <c r="F272" s="336"/>
      <c r="G272" s="336"/>
      <c r="H272" s="336"/>
      <c r="I272" s="336"/>
      <c r="J272" s="336"/>
      <c r="K272" s="336"/>
      <c r="L272" s="343"/>
      <c r="M272" s="335"/>
      <c r="N272" s="335"/>
      <c r="O272" s="335"/>
      <c r="P272" s="331"/>
      <c r="Q272" s="332"/>
      <c r="W272" s="60"/>
    </row>
    <row r="273" spans="1:23" ht="14.25">
      <c r="A273" s="335"/>
      <c r="B273" s="335"/>
      <c r="C273" s="335"/>
      <c r="D273" s="336"/>
      <c r="E273" s="336"/>
      <c r="F273" s="336"/>
      <c r="G273" s="336"/>
      <c r="H273" s="336"/>
      <c r="I273" s="336"/>
      <c r="J273" s="336"/>
      <c r="K273" s="336"/>
      <c r="L273" s="343"/>
      <c r="M273" s="335"/>
      <c r="N273" s="335"/>
      <c r="O273" s="335"/>
      <c r="P273" s="331"/>
      <c r="Q273" s="332"/>
      <c r="W273" s="60"/>
    </row>
    <row r="274" spans="1:23" ht="14.25">
      <c r="A274" s="335"/>
      <c r="B274" s="335"/>
      <c r="C274" s="335"/>
      <c r="D274" s="336"/>
      <c r="E274" s="336"/>
      <c r="F274" s="336"/>
      <c r="G274" s="336"/>
      <c r="H274" s="336"/>
      <c r="I274" s="336"/>
      <c r="J274" s="336"/>
      <c r="K274" s="336"/>
      <c r="L274" s="343"/>
      <c r="M274" s="335"/>
      <c r="N274" s="335"/>
      <c r="O274" s="335"/>
      <c r="P274" s="331"/>
      <c r="Q274" s="332"/>
      <c r="W274" s="60"/>
    </row>
    <row r="275" spans="1:23" ht="14.25">
      <c r="A275" s="335"/>
      <c r="B275" s="335"/>
      <c r="C275" s="335"/>
      <c r="D275" s="336"/>
      <c r="E275" s="336"/>
      <c r="F275" s="336"/>
      <c r="G275" s="336"/>
      <c r="H275" s="336"/>
      <c r="I275" s="336"/>
      <c r="J275" s="336"/>
      <c r="K275" s="336"/>
      <c r="L275" s="343"/>
      <c r="M275" s="335"/>
      <c r="N275" s="335"/>
      <c r="O275" s="335"/>
      <c r="P275" s="331"/>
      <c r="Q275" s="332"/>
      <c r="W275" s="60"/>
    </row>
    <row r="276" spans="1:23" ht="14.25">
      <c r="A276" s="335"/>
      <c r="B276" s="335"/>
      <c r="C276" s="335"/>
      <c r="D276" s="336"/>
      <c r="E276" s="336"/>
      <c r="F276" s="336"/>
      <c r="G276" s="336"/>
      <c r="H276" s="336"/>
      <c r="I276" s="336"/>
      <c r="J276" s="336"/>
      <c r="K276" s="336"/>
      <c r="L276" s="343"/>
      <c r="M276" s="335"/>
      <c r="N276" s="335"/>
      <c r="O276" s="335"/>
      <c r="P276" s="331"/>
      <c r="Q276" s="332"/>
      <c r="W276" s="60"/>
    </row>
    <row r="277" spans="1:23" ht="14.25">
      <c r="A277" s="335"/>
      <c r="B277" s="335"/>
      <c r="C277" s="335"/>
      <c r="D277" s="336"/>
      <c r="E277" s="336"/>
      <c r="F277" s="336"/>
      <c r="G277" s="336"/>
      <c r="H277" s="336"/>
      <c r="I277" s="336"/>
      <c r="J277" s="336"/>
      <c r="K277" s="336"/>
      <c r="L277" s="343"/>
      <c r="M277" s="335"/>
      <c r="N277" s="335"/>
      <c r="O277" s="335"/>
      <c r="P277" s="331"/>
      <c r="Q277" s="332"/>
      <c r="W277" s="60"/>
    </row>
    <row r="278" spans="1:23" ht="14.25">
      <c r="A278" s="335"/>
      <c r="B278" s="335"/>
      <c r="C278" s="335"/>
      <c r="D278" s="336"/>
      <c r="E278" s="336"/>
      <c r="F278" s="336"/>
      <c r="G278" s="336"/>
      <c r="H278" s="336"/>
      <c r="I278" s="336"/>
      <c r="J278" s="336"/>
      <c r="K278" s="336"/>
      <c r="L278" s="343"/>
      <c r="M278" s="335"/>
      <c r="N278" s="335"/>
      <c r="O278" s="335"/>
      <c r="P278" s="331"/>
      <c r="Q278" s="332"/>
      <c r="W278" s="60"/>
    </row>
    <row r="279" spans="1:23" ht="14.25">
      <c r="A279" s="335"/>
      <c r="B279" s="335"/>
      <c r="C279" s="335"/>
      <c r="D279" s="336"/>
      <c r="E279" s="336"/>
      <c r="F279" s="336"/>
      <c r="G279" s="336"/>
      <c r="H279" s="336"/>
      <c r="I279" s="336"/>
      <c r="J279" s="336"/>
      <c r="K279" s="336"/>
      <c r="L279" s="343"/>
      <c r="M279" s="335"/>
      <c r="N279" s="335"/>
      <c r="O279" s="335"/>
      <c r="P279" s="331"/>
      <c r="Q279" s="332"/>
      <c r="W279" s="60"/>
    </row>
    <row r="280" spans="1:23" ht="14.25">
      <c r="A280" s="335"/>
      <c r="B280" s="335"/>
      <c r="C280" s="335"/>
      <c r="D280" s="336"/>
      <c r="E280" s="336"/>
      <c r="F280" s="336"/>
      <c r="G280" s="336"/>
      <c r="H280" s="336"/>
      <c r="I280" s="336"/>
      <c r="J280" s="336"/>
      <c r="K280" s="336"/>
      <c r="L280" s="343"/>
      <c r="M280" s="335"/>
      <c r="N280" s="335"/>
      <c r="O280" s="335"/>
      <c r="P280" s="331"/>
      <c r="Q280" s="332"/>
      <c r="W280" s="60"/>
    </row>
    <row r="281" spans="1:23" ht="14.25">
      <c r="A281" s="335"/>
      <c r="B281" s="335"/>
      <c r="C281" s="335"/>
      <c r="D281" s="336"/>
      <c r="E281" s="336"/>
      <c r="F281" s="336"/>
      <c r="G281" s="336"/>
      <c r="H281" s="336"/>
      <c r="I281" s="336"/>
      <c r="J281" s="336"/>
      <c r="K281" s="336"/>
      <c r="L281" s="343"/>
      <c r="M281" s="335"/>
      <c r="N281" s="335"/>
      <c r="O281" s="335"/>
      <c r="P281" s="331"/>
      <c r="Q281" s="332"/>
      <c r="W281" s="60"/>
    </row>
    <row r="282" spans="1:23" ht="14.25">
      <c r="A282" s="335"/>
      <c r="B282" s="335"/>
      <c r="C282" s="335"/>
      <c r="D282" s="336"/>
      <c r="E282" s="336"/>
      <c r="F282" s="336"/>
      <c r="G282" s="336"/>
      <c r="H282" s="336"/>
      <c r="I282" s="336"/>
      <c r="J282" s="336"/>
      <c r="K282" s="336"/>
      <c r="L282" s="343"/>
      <c r="M282" s="335"/>
      <c r="N282" s="335"/>
      <c r="O282" s="335"/>
      <c r="P282" s="331"/>
      <c r="Q282" s="332"/>
      <c r="W282" s="60"/>
    </row>
    <row r="283" spans="1:23" ht="14.25">
      <c r="A283" s="335"/>
      <c r="B283" s="335"/>
      <c r="C283" s="335"/>
      <c r="D283" s="336"/>
      <c r="E283" s="336"/>
      <c r="F283" s="336"/>
      <c r="G283" s="336"/>
      <c r="H283" s="336"/>
      <c r="I283" s="336"/>
      <c r="J283" s="336"/>
      <c r="K283" s="336"/>
      <c r="L283" s="343"/>
      <c r="M283" s="335"/>
      <c r="N283" s="335"/>
      <c r="O283" s="335"/>
      <c r="P283" s="331"/>
      <c r="Q283" s="332"/>
      <c r="W283" s="60"/>
    </row>
    <row r="284" spans="1:23" ht="14.25">
      <c r="A284" s="335"/>
      <c r="B284" s="335"/>
      <c r="C284" s="335"/>
      <c r="D284" s="336"/>
      <c r="E284" s="336"/>
      <c r="F284" s="336"/>
      <c r="G284" s="336"/>
      <c r="H284" s="336"/>
      <c r="I284" s="336"/>
      <c r="J284" s="336"/>
      <c r="K284" s="336"/>
      <c r="L284" s="343"/>
      <c r="M284" s="335"/>
      <c r="N284" s="335"/>
      <c r="O284" s="335"/>
      <c r="P284" s="331"/>
      <c r="Q284" s="332"/>
      <c r="W284" s="60"/>
    </row>
    <row r="285" spans="1:23" ht="14.25">
      <c r="A285" s="335"/>
      <c r="B285" s="335"/>
      <c r="C285" s="335"/>
      <c r="D285" s="336"/>
      <c r="E285" s="336"/>
      <c r="F285" s="336"/>
      <c r="G285" s="336"/>
      <c r="H285" s="336"/>
      <c r="I285" s="336"/>
      <c r="J285" s="336"/>
      <c r="K285" s="336"/>
      <c r="L285" s="343"/>
      <c r="M285" s="335"/>
      <c r="N285" s="335"/>
      <c r="O285" s="335"/>
      <c r="P285" s="331"/>
      <c r="Q285" s="332"/>
      <c r="W285" s="60"/>
    </row>
    <row r="286" spans="1:23" ht="14.25">
      <c r="A286" s="335"/>
      <c r="B286" s="335"/>
      <c r="C286" s="335"/>
      <c r="D286" s="336"/>
      <c r="E286" s="336"/>
      <c r="F286" s="336"/>
      <c r="G286" s="336"/>
      <c r="H286" s="336"/>
      <c r="I286" s="336"/>
      <c r="J286" s="336"/>
      <c r="K286" s="336"/>
      <c r="L286" s="343"/>
      <c r="M286" s="335"/>
      <c r="N286" s="335"/>
      <c r="O286" s="335"/>
      <c r="P286" s="331"/>
      <c r="Q286" s="332"/>
      <c r="W286" s="60"/>
    </row>
    <row r="287" spans="1:23" ht="14.25">
      <c r="A287" s="335"/>
      <c r="B287" s="335"/>
      <c r="C287" s="335"/>
      <c r="D287" s="336"/>
      <c r="E287" s="336"/>
      <c r="F287" s="336"/>
      <c r="G287" s="336"/>
      <c r="H287" s="336"/>
      <c r="I287" s="336"/>
      <c r="J287" s="336"/>
      <c r="K287" s="336"/>
      <c r="L287" s="343"/>
      <c r="M287" s="335"/>
      <c r="N287" s="335"/>
      <c r="O287" s="335"/>
      <c r="P287" s="331"/>
      <c r="Q287" s="332"/>
      <c r="W287" s="60"/>
    </row>
    <row r="288" spans="1:23" ht="14.25">
      <c r="A288" s="335"/>
      <c r="B288" s="335"/>
      <c r="C288" s="335"/>
      <c r="D288" s="336"/>
      <c r="E288" s="336"/>
      <c r="F288" s="336"/>
      <c r="G288" s="336"/>
      <c r="H288" s="336"/>
      <c r="I288" s="336"/>
      <c r="J288" s="336"/>
      <c r="K288" s="336"/>
      <c r="L288" s="343"/>
      <c r="M288" s="335"/>
      <c r="N288" s="335"/>
      <c r="O288" s="335"/>
      <c r="P288" s="331"/>
      <c r="Q288" s="332"/>
      <c r="W288" s="60"/>
    </row>
    <row r="289" spans="1:23" ht="14.25">
      <c r="A289" s="335"/>
      <c r="B289" s="335"/>
      <c r="C289" s="335"/>
      <c r="D289" s="336"/>
      <c r="E289" s="336"/>
      <c r="F289" s="336"/>
      <c r="G289" s="336"/>
      <c r="H289" s="336"/>
      <c r="I289" s="336"/>
      <c r="J289" s="336"/>
      <c r="K289" s="336"/>
      <c r="L289" s="343"/>
      <c r="M289" s="335"/>
      <c r="N289" s="335"/>
      <c r="O289" s="335"/>
      <c r="P289" s="331"/>
      <c r="Q289" s="332"/>
      <c r="W289" s="60"/>
    </row>
    <row r="290" spans="1:23" ht="14.25">
      <c r="A290" s="335"/>
      <c r="B290" s="335"/>
      <c r="C290" s="335"/>
      <c r="D290" s="336"/>
      <c r="E290" s="336"/>
      <c r="F290" s="336"/>
      <c r="G290" s="336"/>
      <c r="H290" s="336"/>
      <c r="I290" s="336"/>
      <c r="J290" s="336"/>
      <c r="K290" s="336"/>
      <c r="L290" s="343"/>
      <c r="M290" s="335"/>
      <c r="N290" s="335"/>
      <c r="O290" s="335"/>
      <c r="P290" s="331"/>
      <c r="Q290" s="332"/>
      <c r="W290" s="60"/>
    </row>
    <row r="291" spans="1:23" ht="14.25">
      <c r="A291" s="335"/>
      <c r="B291" s="335"/>
      <c r="C291" s="335"/>
      <c r="D291" s="336"/>
      <c r="E291" s="336"/>
      <c r="F291" s="336"/>
      <c r="G291" s="336"/>
      <c r="H291" s="336"/>
      <c r="I291" s="336"/>
      <c r="J291" s="336"/>
      <c r="K291" s="336"/>
      <c r="L291" s="343"/>
      <c r="M291" s="335"/>
      <c r="N291" s="335"/>
      <c r="O291" s="335"/>
      <c r="P291" s="331"/>
      <c r="Q291" s="332"/>
      <c r="W291" s="60"/>
    </row>
    <row r="292" spans="1:23" ht="14.25">
      <c r="A292" s="335"/>
      <c r="B292" s="335"/>
      <c r="C292" s="335"/>
      <c r="D292" s="336"/>
      <c r="E292" s="336"/>
      <c r="F292" s="336"/>
      <c r="G292" s="336"/>
      <c r="H292" s="336"/>
      <c r="I292" s="336"/>
      <c r="J292" s="336"/>
      <c r="K292" s="336"/>
      <c r="L292" s="343"/>
      <c r="M292" s="335"/>
      <c r="N292" s="335"/>
      <c r="O292" s="335"/>
      <c r="P292" s="331"/>
      <c r="Q292" s="332"/>
      <c r="W292" s="60"/>
    </row>
    <row r="293" spans="1:23" ht="14.25">
      <c r="A293" s="335"/>
      <c r="B293" s="335"/>
      <c r="C293" s="335"/>
      <c r="D293" s="336"/>
      <c r="E293" s="336"/>
      <c r="F293" s="336"/>
      <c r="G293" s="336"/>
      <c r="H293" s="336"/>
      <c r="I293" s="336"/>
      <c r="J293" s="336"/>
      <c r="K293" s="336"/>
      <c r="L293" s="343"/>
      <c r="M293" s="335"/>
      <c r="N293" s="335"/>
      <c r="O293" s="335"/>
      <c r="P293" s="331"/>
      <c r="Q293" s="332"/>
      <c r="W293" s="60"/>
    </row>
    <row r="294" spans="1:23" ht="14.25">
      <c r="A294" s="335"/>
      <c r="B294" s="335"/>
      <c r="C294" s="335"/>
      <c r="D294" s="336"/>
      <c r="E294" s="336"/>
      <c r="F294" s="336"/>
      <c r="G294" s="336"/>
      <c r="H294" s="336"/>
      <c r="I294" s="336"/>
      <c r="J294" s="336"/>
      <c r="K294" s="336"/>
      <c r="L294" s="343"/>
      <c r="M294" s="335"/>
      <c r="N294" s="335"/>
      <c r="O294" s="335"/>
      <c r="P294" s="331"/>
      <c r="Q294" s="332"/>
      <c r="W294" s="60"/>
    </row>
    <row r="295" spans="1:23" ht="14.25">
      <c r="A295" s="335"/>
      <c r="B295" s="335"/>
      <c r="C295" s="335"/>
      <c r="D295" s="336"/>
      <c r="E295" s="336"/>
      <c r="F295" s="336"/>
      <c r="G295" s="336"/>
      <c r="H295" s="336"/>
      <c r="I295" s="336"/>
      <c r="J295" s="336"/>
      <c r="K295" s="336"/>
      <c r="L295" s="343"/>
      <c r="M295" s="335"/>
      <c r="N295" s="335"/>
      <c r="O295" s="335"/>
      <c r="P295" s="331"/>
      <c r="Q295" s="332"/>
      <c r="W295" s="60"/>
    </row>
    <row r="296" spans="1:23" ht="14.25">
      <c r="A296" s="335"/>
      <c r="B296" s="335"/>
      <c r="C296" s="335"/>
      <c r="D296" s="336"/>
      <c r="E296" s="336"/>
      <c r="F296" s="336"/>
      <c r="G296" s="336"/>
      <c r="H296" s="336"/>
      <c r="I296" s="336"/>
      <c r="J296" s="336"/>
      <c r="K296" s="336"/>
      <c r="L296" s="343"/>
      <c r="M296" s="335"/>
      <c r="N296" s="335"/>
      <c r="O296" s="335"/>
      <c r="P296" s="331"/>
      <c r="Q296" s="332"/>
      <c r="W296" s="60"/>
    </row>
    <row r="297" spans="1:23" ht="14.25">
      <c r="A297" s="335"/>
      <c r="B297" s="335"/>
      <c r="C297" s="335"/>
      <c r="D297" s="336"/>
      <c r="E297" s="336"/>
      <c r="F297" s="336"/>
      <c r="G297" s="336"/>
      <c r="H297" s="336"/>
      <c r="I297" s="336"/>
      <c r="J297" s="336"/>
      <c r="K297" s="336"/>
      <c r="L297" s="343"/>
      <c r="M297" s="335"/>
      <c r="N297" s="335"/>
      <c r="O297" s="335"/>
      <c r="P297" s="331"/>
      <c r="Q297" s="332"/>
      <c r="W297" s="60"/>
    </row>
    <row r="298" spans="1:23" ht="14.25">
      <c r="A298" s="335"/>
      <c r="B298" s="335"/>
      <c r="C298" s="335"/>
      <c r="D298" s="336"/>
      <c r="E298" s="336"/>
      <c r="F298" s="336"/>
      <c r="G298" s="336"/>
      <c r="H298" s="336"/>
      <c r="I298" s="336"/>
      <c r="J298" s="336"/>
      <c r="K298" s="336"/>
      <c r="L298" s="343"/>
      <c r="M298" s="335"/>
      <c r="N298" s="335"/>
      <c r="O298" s="335"/>
      <c r="P298" s="331"/>
      <c r="Q298" s="332"/>
      <c r="W298" s="60"/>
    </row>
    <row r="299" spans="1:23" ht="14.25">
      <c r="A299" s="335"/>
      <c r="B299" s="335"/>
      <c r="C299" s="335"/>
      <c r="D299" s="336"/>
      <c r="E299" s="336"/>
      <c r="F299" s="336"/>
      <c r="G299" s="336"/>
      <c r="H299" s="336"/>
      <c r="I299" s="336"/>
      <c r="J299" s="336"/>
      <c r="K299" s="336"/>
      <c r="L299" s="343"/>
      <c r="M299" s="335"/>
      <c r="N299" s="335"/>
      <c r="O299" s="335"/>
      <c r="P299" s="331"/>
      <c r="Q299" s="332"/>
      <c r="W299" s="60"/>
    </row>
    <row r="300" spans="1:23" ht="14.25">
      <c r="A300" s="335"/>
      <c r="B300" s="335"/>
      <c r="C300" s="335"/>
      <c r="D300" s="336"/>
      <c r="E300" s="336"/>
      <c r="F300" s="336"/>
      <c r="G300" s="336"/>
      <c r="H300" s="336"/>
      <c r="I300" s="336"/>
      <c r="J300" s="336"/>
      <c r="K300" s="336"/>
      <c r="L300" s="343"/>
      <c r="M300" s="335"/>
      <c r="N300" s="335"/>
      <c r="O300" s="335"/>
      <c r="P300" s="331"/>
      <c r="Q300" s="332"/>
      <c r="W300" s="60"/>
    </row>
    <row r="301" spans="1:23" ht="14.25">
      <c r="A301" s="335"/>
      <c r="B301" s="335"/>
      <c r="C301" s="335"/>
      <c r="D301" s="336"/>
      <c r="E301" s="336"/>
      <c r="F301" s="336"/>
      <c r="G301" s="336"/>
      <c r="H301" s="336"/>
      <c r="I301" s="336"/>
      <c r="J301" s="336"/>
      <c r="K301" s="336"/>
      <c r="L301" s="343"/>
      <c r="M301" s="335"/>
      <c r="N301" s="335"/>
      <c r="O301" s="335"/>
      <c r="P301" s="331"/>
      <c r="Q301" s="332"/>
      <c r="W301" s="60"/>
    </row>
    <row r="302" spans="1:23" ht="14.25">
      <c r="A302" s="335"/>
      <c r="B302" s="335"/>
      <c r="C302" s="335"/>
      <c r="D302" s="336"/>
      <c r="E302" s="336"/>
      <c r="F302" s="336"/>
      <c r="G302" s="336"/>
      <c r="H302" s="336"/>
      <c r="I302" s="336"/>
      <c r="J302" s="336"/>
      <c r="K302" s="336"/>
      <c r="L302" s="343"/>
      <c r="M302" s="335"/>
      <c r="N302" s="335"/>
      <c r="O302" s="335"/>
      <c r="P302" s="331"/>
      <c r="Q302" s="332"/>
      <c r="W302" s="60"/>
    </row>
    <row r="303" spans="1:23" ht="14.25">
      <c r="A303" s="335"/>
      <c r="B303" s="335"/>
      <c r="C303" s="335"/>
      <c r="D303" s="336"/>
      <c r="E303" s="336"/>
      <c r="F303" s="336"/>
      <c r="G303" s="336"/>
      <c r="H303" s="336"/>
      <c r="I303" s="336"/>
      <c r="J303" s="336"/>
      <c r="K303" s="336"/>
      <c r="L303" s="343"/>
      <c r="M303" s="335"/>
      <c r="N303" s="335"/>
      <c r="O303" s="335"/>
      <c r="P303" s="331"/>
      <c r="Q303" s="332"/>
      <c r="W303" s="60"/>
    </row>
    <row r="304" spans="1:23" ht="14.25">
      <c r="A304" s="335"/>
      <c r="B304" s="335"/>
      <c r="C304" s="335"/>
      <c r="D304" s="336"/>
      <c r="E304" s="336"/>
      <c r="F304" s="336"/>
      <c r="G304" s="336"/>
      <c r="H304" s="336"/>
      <c r="I304" s="336"/>
      <c r="J304" s="336"/>
      <c r="K304" s="336"/>
      <c r="L304" s="343"/>
      <c r="M304" s="335"/>
      <c r="N304" s="335"/>
      <c r="O304" s="335"/>
      <c r="P304" s="331"/>
      <c r="Q304" s="332"/>
      <c r="W304" s="60"/>
    </row>
    <row r="305" spans="1:23" ht="14.25">
      <c r="A305" s="335"/>
      <c r="B305" s="335"/>
      <c r="C305" s="335"/>
      <c r="D305" s="336"/>
      <c r="E305" s="336"/>
      <c r="F305" s="336"/>
      <c r="G305" s="336"/>
      <c r="H305" s="336"/>
      <c r="I305" s="336"/>
      <c r="J305" s="336"/>
      <c r="K305" s="336"/>
      <c r="L305" s="343"/>
      <c r="M305" s="335"/>
      <c r="N305" s="335"/>
      <c r="O305" s="335"/>
      <c r="P305" s="331"/>
      <c r="Q305" s="332"/>
      <c r="W305" s="60"/>
    </row>
    <row r="306" spans="1:23" ht="14.25">
      <c r="A306" s="335"/>
      <c r="B306" s="335"/>
      <c r="C306" s="335"/>
      <c r="D306" s="336"/>
      <c r="E306" s="336"/>
      <c r="F306" s="336"/>
      <c r="G306" s="336"/>
      <c r="H306" s="336"/>
      <c r="I306" s="336"/>
      <c r="J306" s="336"/>
      <c r="K306" s="336"/>
      <c r="L306" s="343"/>
      <c r="M306" s="335"/>
      <c r="N306" s="335"/>
      <c r="O306" s="335"/>
      <c r="P306" s="331"/>
      <c r="Q306" s="332"/>
      <c r="W306" s="60"/>
    </row>
    <row r="307" spans="1:23" ht="14.25">
      <c r="A307" s="335"/>
      <c r="B307" s="335"/>
      <c r="C307" s="335"/>
      <c r="D307" s="336"/>
      <c r="E307" s="336"/>
      <c r="F307" s="336"/>
      <c r="G307" s="336"/>
      <c r="H307" s="336"/>
      <c r="I307" s="336"/>
      <c r="J307" s="336"/>
      <c r="K307" s="336"/>
      <c r="L307" s="343"/>
      <c r="M307" s="335"/>
      <c r="N307" s="335"/>
      <c r="O307" s="335"/>
      <c r="P307" s="331"/>
      <c r="Q307" s="332"/>
      <c r="W307" s="60"/>
    </row>
    <row r="308" spans="1:23" ht="14.25">
      <c r="A308" s="335"/>
      <c r="B308" s="335"/>
      <c r="C308" s="335"/>
      <c r="D308" s="336"/>
      <c r="E308" s="336"/>
      <c r="F308" s="336"/>
      <c r="G308" s="336"/>
      <c r="H308" s="336"/>
      <c r="I308" s="336"/>
      <c r="J308" s="336"/>
      <c r="K308" s="336"/>
      <c r="L308" s="343"/>
      <c r="M308" s="335"/>
      <c r="N308" s="335"/>
      <c r="O308" s="335"/>
      <c r="P308" s="331"/>
      <c r="Q308" s="332"/>
      <c r="W308" s="60"/>
    </row>
    <row r="309" spans="1:23" ht="14.25">
      <c r="A309" s="335"/>
      <c r="B309" s="335"/>
      <c r="C309" s="335"/>
      <c r="D309" s="336"/>
      <c r="E309" s="336"/>
      <c r="F309" s="336"/>
      <c r="G309" s="336"/>
      <c r="H309" s="336"/>
      <c r="I309" s="336"/>
      <c r="J309" s="336"/>
      <c r="K309" s="336"/>
      <c r="L309" s="343"/>
      <c r="M309" s="335"/>
      <c r="N309" s="335"/>
      <c r="O309" s="335"/>
      <c r="P309" s="331"/>
      <c r="Q309" s="332"/>
      <c r="W309" s="60"/>
    </row>
    <row r="310" spans="1:23" ht="14.25">
      <c r="A310" s="335"/>
      <c r="B310" s="335"/>
      <c r="C310" s="335"/>
      <c r="D310" s="336"/>
      <c r="E310" s="336"/>
      <c r="F310" s="336"/>
      <c r="G310" s="336"/>
      <c r="H310" s="336"/>
      <c r="I310" s="336"/>
      <c r="J310" s="336"/>
      <c r="K310" s="336"/>
      <c r="L310" s="343"/>
      <c r="M310" s="335"/>
      <c r="N310" s="335"/>
      <c r="O310" s="335"/>
      <c r="P310" s="331"/>
      <c r="Q310" s="332"/>
      <c r="W310" s="60"/>
    </row>
    <row r="311" spans="1:23" ht="14.25">
      <c r="A311" s="335"/>
      <c r="B311" s="335"/>
      <c r="C311" s="335"/>
      <c r="D311" s="336"/>
      <c r="E311" s="336"/>
      <c r="F311" s="336"/>
      <c r="G311" s="336"/>
      <c r="H311" s="336"/>
      <c r="I311" s="336"/>
      <c r="J311" s="336"/>
      <c r="K311" s="336"/>
      <c r="L311" s="343"/>
      <c r="M311" s="335"/>
      <c r="N311" s="335"/>
      <c r="O311" s="335"/>
      <c r="P311" s="331"/>
      <c r="Q311" s="332"/>
      <c r="W311" s="60"/>
    </row>
    <row r="312" spans="1:23" ht="14.25">
      <c r="A312" s="335"/>
      <c r="B312" s="335"/>
      <c r="C312" s="335"/>
      <c r="D312" s="336"/>
      <c r="E312" s="336"/>
      <c r="F312" s="336"/>
      <c r="G312" s="336"/>
      <c r="H312" s="336"/>
      <c r="I312" s="336"/>
      <c r="J312" s="336"/>
      <c r="K312" s="336"/>
      <c r="L312" s="343"/>
      <c r="M312" s="335"/>
      <c r="N312" s="335"/>
      <c r="O312" s="335"/>
      <c r="P312" s="331"/>
      <c r="Q312" s="332"/>
      <c r="W312" s="60"/>
    </row>
    <row r="313" spans="1:23" ht="14.25">
      <c r="A313" s="335"/>
      <c r="B313" s="335"/>
      <c r="C313" s="335"/>
      <c r="D313" s="336"/>
      <c r="E313" s="336"/>
      <c r="F313" s="336"/>
      <c r="G313" s="336"/>
      <c r="H313" s="336"/>
      <c r="I313" s="336"/>
      <c r="J313" s="336"/>
      <c r="K313" s="336"/>
      <c r="L313" s="343"/>
      <c r="M313" s="335"/>
      <c r="N313" s="335"/>
      <c r="O313" s="335"/>
      <c r="P313" s="331"/>
      <c r="Q313" s="332"/>
      <c r="W313" s="60"/>
    </row>
    <row r="314" spans="1:23" ht="14.25">
      <c r="A314" s="335"/>
      <c r="B314" s="335"/>
      <c r="C314" s="335"/>
      <c r="D314" s="336"/>
      <c r="E314" s="336"/>
      <c r="F314" s="336"/>
      <c r="G314" s="336"/>
      <c r="H314" s="336"/>
      <c r="I314" s="336"/>
      <c r="J314" s="336"/>
      <c r="K314" s="336"/>
      <c r="L314" s="343"/>
      <c r="M314" s="335"/>
      <c r="N314" s="335"/>
      <c r="O314" s="335"/>
      <c r="P314" s="331"/>
      <c r="Q314" s="332"/>
      <c r="W314" s="60"/>
    </row>
    <row r="315" spans="1:23" ht="14.25">
      <c r="A315" s="335"/>
      <c r="B315" s="335"/>
      <c r="C315" s="335"/>
      <c r="D315" s="336"/>
      <c r="E315" s="336"/>
      <c r="F315" s="336"/>
      <c r="G315" s="336"/>
      <c r="H315" s="336"/>
      <c r="I315" s="336"/>
      <c r="J315" s="336"/>
      <c r="K315" s="336"/>
      <c r="L315" s="343"/>
      <c r="M315" s="335"/>
      <c r="N315" s="335"/>
      <c r="O315" s="335"/>
      <c r="P315" s="331"/>
      <c r="Q315" s="332"/>
      <c r="W315" s="60"/>
    </row>
    <row r="316" spans="1:23" ht="14.25">
      <c r="A316" s="335"/>
      <c r="B316" s="335"/>
      <c r="C316" s="335"/>
      <c r="D316" s="336"/>
      <c r="E316" s="336"/>
      <c r="F316" s="336"/>
      <c r="G316" s="336"/>
      <c r="H316" s="336"/>
      <c r="I316" s="336"/>
      <c r="J316" s="336"/>
      <c r="K316" s="336"/>
      <c r="L316" s="343"/>
      <c r="M316" s="335"/>
      <c r="N316" s="335"/>
      <c r="O316" s="335"/>
      <c r="P316" s="331"/>
      <c r="Q316" s="332"/>
      <c r="W316" s="60"/>
    </row>
    <row r="317" spans="1:23" ht="14.25">
      <c r="A317" s="335"/>
      <c r="B317" s="335"/>
      <c r="C317" s="335"/>
      <c r="D317" s="336"/>
      <c r="E317" s="336"/>
      <c r="F317" s="336"/>
      <c r="G317" s="336"/>
      <c r="H317" s="336"/>
      <c r="I317" s="336"/>
      <c r="J317" s="336"/>
      <c r="K317" s="336"/>
      <c r="L317" s="343"/>
      <c r="M317" s="335"/>
      <c r="N317" s="335"/>
      <c r="O317" s="335"/>
      <c r="P317" s="331"/>
      <c r="Q317" s="332"/>
      <c r="W317" s="60"/>
    </row>
    <row r="318" spans="1:23" ht="14.25">
      <c r="A318" s="335"/>
      <c r="B318" s="335"/>
      <c r="C318" s="335"/>
      <c r="D318" s="336"/>
      <c r="E318" s="336"/>
      <c r="F318" s="336"/>
      <c r="G318" s="336"/>
      <c r="H318" s="336"/>
      <c r="I318" s="336"/>
      <c r="J318" s="336"/>
      <c r="K318" s="336"/>
      <c r="L318" s="343"/>
      <c r="M318" s="335"/>
      <c r="N318" s="335"/>
      <c r="O318" s="335"/>
      <c r="P318" s="331"/>
      <c r="Q318" s="332"/>
      <c r="W318" s="60"/>
    </row>
    <row r="319" spans="1:23" ht="14.25">
      <c r="A319" s="335"/>
      <c r="B319" s="335"/>
      <c r="C319" s="335"/>
      <c r="D319" s="336"/>
      <c r="E319" s="336"/>
      <c r="F319" s="336"/>
      <c r="G319" s="336"/>
      <c r="H319" s="336"/>
      <c r="I319" s="336"/>
      <c r="J319" s="336"/>
      <c r="K319" s="336"/>
      <c r="L319" s="343"/>
      <c r="M319" s="335"/>
      <c r="N319" s="335"/>
      <c r="O319" s="335"/>
      <c r="P319" s="331"/>
      <c r="Q319" s="332"/>
      <c r="W319" s="60"/>
    </row>
    <row r="320" spans="1:23" ht="14.25">
      <c r="A320" s="335"/>
      <c r="B320" s="335"/>
      <c r="C320" s="335"/>
      <c r="D320" s="336"/>
      <c r="E320" s="336"/>
      <c r="F320" s="336"/>
      <c r="G320" s="336"/>
      <c r="H320" s="336"/>
      <c r="I320" s="336"/>
      <c r="J320" s="336"/>
      <c r="K320" s="336"/>
      <c r="L320" s="343"/>
      <c r="M320" s="335"/>
      <c r="N320" s="335"/>
      <c r="O320" s="335"/>
      <c r="P320" s="331"/>
      <c r="Q320" s="332"/>
      <c r="W320" s="60"/>
    </row>
    <row r="321" spans="1:23" ht="14.25">
      <c r="A321" s="335"/>
      <c r="B321" s="335"/>
      <c r="C321" s="335"/>
      <c r="D321" s="336"/>
      <c r="E321" s="336"/>
      <c r="F321" s="336"/>
      <c r="G321" s="336"/>
      <c r="H321" s="336"/>
      <c r="I321" s="336"/>
      <c r="J321" s="336"/>
      <c r="K321" s="336"/>
      <c r="L321" s="343"/>
      <c r="M321" s="335"/>
      <c r="N321" s="335"/>
      <c r="O321" s="335"/>
      <c r="P321" s="331"/>
      <c r="Q321" s="332"/>
      <c r="W321" s="60"/>
    </row>
    <row r="322" spans="1:23" ht="14.25">
      <c r="A322" s="335"/>
      <c r="B322" s="335"/>
      <c r="C322" s="335"/>
      <c r="D322" s="336"/>
      <c r="E322" s="336"/>
      <c r="F322" s="336"/>
      <c r="G322" s="336"/>
      <c r="H322" s="336"/>
      <c r="I322" s="336"/>
      <c r="J322" s="336"/>
      <c r="K322" s="336"/>
      <c r="L322" s="343"/>
      <c r="M322" s="335"/>
      <c r="N322" s="335"/>
      <c r="O322" s="335"/>
      <c r="P322" s="331"/>
      <c r="Q322" s="332"/>
      <c r="W322" s="60"/>
    </row>
    <row r="323" spans="1:23" ht="14.25">
      <c r="A323" s="335"/>
      <c r="B323" s="335"/>
      <c r="C323" s="335"/>
      <c r="D323" s="336"/>
      <c r="E323" s="336"/>
      <c r="F323" s="336"/>
      <c r="G323" s="336"/>
      <c r="H323" s="336"/>
      <c r="I323" s="336"/>
      <c r="J323" s="336"/>
      <c r="K323" s="336"/>
      <c r="L323" s="343"/>
      <c r="M323" s="335"/>
      <c r="N323" s="335"/>
      <c r="O323" s="335"/>
      <c r="P323" s="331"/>
      <c r="Q323" s="332"/>
      <c r="W323" s="60"/>
    </row>
    <row r="324" spans="1:23" ht="14.25">
      <c r="A324" s="335"/>
      <c r="B324" s="335"/>
      <c r="C324" s="335"/>
      <c r="D324" s="336"/>
      <c r="E324" s="336"/>
      <c r="F324" s="336"/>
      <c r="G324" s="336"/>
      <c r="H324" s="336"/>
      <c r="I324" s="336"/>
      <c r="J324" s="336"/>
      <c r="K324" s="336"/>
      <c r="L324" s="343"/>
      <c r="M324" s="335"/>
      <c r="N324" s="335"/>
      <c r="O324" s="335"/>
      <c r="P324" s="331"/>
      <c r="Q324" s="332"/>
      <c r="W324" s="60"/>
    </row>
    <row r="325" spans="1:23" ht="14.25">
      <c r="A325" s="335"/>
      <c r="B325" s="335"/>
      <c r="C325" s="335"/>
      <c r="D325" s="336"/>
      <c r="E325" s="336"/>
      <c r="F325" s="336"/>
      <c r="G325" s="336"/>
      <c r="H325" s="336"/>
      <c r="I325" s="336"/>
      <c r="J325" s="336"/>
      <c r="K325" s="336"/>
      <c r="L325" s="343"/>
      <c r="M325" s="335"/>
      <c r="N325" s="335"/>
      <c r="O325" s="335"/>
      <c r="P325" s="331"/>
      <c r="Q325" s="332"/>
      <c r="W325" s="60"/>
    </row>
    <row r="326" spans="1:23" ht="14.25">
      <c r="A326" s="335"/>
      <c r="B326" s="335"/>
      <c r="C326" s="335"/>
      <c r="D326" s="336"/>
      <c r="E326" s="336"/>
      <c r="F326" s="336"/>
      <c r="G326" s="336"/>
      <c r="H326" s="336"/>
      <c r="I326" s="336"/>
      <c r="J326" s="336"/>
      <c r="K326" s="336"/>
      <c r="L326" s="343"/>
      <c r="M326" s="335"/>
      <c r="N326" s="335"/>
      <c r="O326" s="335"/>
      <c r="P326" s="331"/>
      <c r="Q326" s="332"/>
      <c r="W326" s="60"/>
    </row>
    <row r="327" spans="1:23" ht="14.25">
      <c r="A327" s="335"/>
      <c r="B327" s="335"/>
      <c r="C327" s="335"/>
      <c r="D327" s="336"/>
      <c r="E327" s="336"/>
      <c r="F327" s="336"/>
      <c r="G327" s="336"/>
      <c r="H327" s="336"/>
      <c r="I327" s="336"/>
      <c r="J327" s="336"/>
      <c r="K327" s="336"/>
      <c r="L327" s="343"/>
      <c r="M327" s="335"/>
      <c r="N327" s="335"/>
      <c r="O327" s="335"/>
      <c r="P327" s="331"/>
      <c r="Q327" s="332"/>
      <c r="W327" s="60"/>
    </row>
    <row r="328" spans="1:23" ht="14.25">
      <c r="A328" s="335"/>
      <c r="B328" s="335"/>
      <c r="C328" s="335"/>
      <c r="D328" s="336"/>
      <c r="E328" s="336"/>
      <c r="F328" s="336"/>
      <c r="G328" s="336"/>
      <c r="H328" s="336"/>
      <c r="I328" s="336"/>
      <c r="J328" s="336"/>
      <c r="K328" s="336"/>
      <c r="L328" s="343"/>
      <c r="M328" s="335"/>
      <c r="N328" s="335"/>
      <c r="O328" s="335"/>
      <c r="P328" s="331"/>
      <c r="Q328" s="332"/>
      <c r="W328" s="60"/>
    </row>
    <row r="329" spans="1:23" ht="14.25">
      <c r="A329" s="335"/>
      <c r="B329" s="335"/>
      <c r="C329" s="335"/>
      <c r="D329" s="336"/>
      <c r="E329" s="336"/>
      <c r="F329" s="336"/>
      <c r="G329" s="336"/>
      <c r="H329" s="336"/>
      <c r="I329" s="336"/>
      <c r="J329" s="336"/>
      <c r="K329" s="336"/>
      <c r="L329" s="343"/>
      <c r="M329" s="335"/>
      <c r="N329" s="335"/>
      <c r="O329" s="335"/>
      <c r="P329" s="331"/>
      <c r="Q329" s="332"/>
      <c r="W329" s="60"/>
    </row>
    <row r="330" spans="1:23" ht="14.25">
      <c r="A330" s="335"/>
      <c r="B330" s="335"/>
      <c r="C330" s="335"/>
      <c r="D330" s="336"/>
      <c r="E330" s="336"/>
      <c r="F330" s="336"/>
      <c r="G330" s="336"/>
      <c r="H330" s="336"/>
      <c r="I330" s="336"/>
      <c r="J330" s="336"/>
      <c r="K330" s="336"/>
      <c r="L330" s="343"/>
      <c r="M330" s="335"/>
      <c r="N330" s="335"/>
      <c r="O330" s="335"/>
      <c r="P330" s="331"/>
      <c r="Q330" s="332"/>
      <c r="W330" s="60"/>
    </row>
    <row r="331" spans="1:23" ht="14.25">
      <c r="A331" s="335"/>
      <c r="B331" s="335"/>
      <c r="C331" s="335"/>
      <c r="D331" s="336"/>
      <c r="E331" s="336"/>
      <c r="F331" s="336"/>
      <c r="G331" s="336"/>
      <c r="H331" s="336"/>
      <c r="I331" s="336"/>
      <c r="J331" s="336"/>
      <c r="K331" s="336"/>
      <c r="L331" s="343"/>
      <c r="M331" s="335"/>
      <c r="N331" s="335"/>
      <c r="O331" s="335"/>
      <c r="P331" s="331"/>
      <c r="Q331" s="332"/>
      <c r="W331" s="60"/>
    </row>
    <row r="332" spans="1:23" ht="14.25">
      <c r="A332" s="335"/>
      <c r="B332" s="335"/>
      <c r="C332" s="335"/>
      <c r="D332" s="336"/>
      <c r="E332" s="336"/>
      <c r="F332" s="336"/>
      <c r="G332" s="336"/>
      <c r="H332" s="336"/>
      <c r="I332" s="336"/>
      <c r="J332" s="336"/>
      <c r="K332" s="336"/>
      <c r="L332" s="343"/>
      <c r="M332" s="335"/>
      <c r="N332" s="335"/>
      <c r="O332" s="335"/>
      <c r="P332" s="331"/>
      <c r="Q332" s="332"/>
      <c r="W332" s="60"/>
    </row>
    <row r="333" spans="1:23" ht="14.25">
      <c r="A333" s="335"/>
      <c r="B333" s="335"/>
      <c r="C333" s="335"/>
      <c r="D333" s="336"/>
      <c r="E333" s="336"/>
      <c r="F333" s="336"/>
      <c r="G333" s="336"/>
      <c r="H333" s="336"/>
      <c r="I333" s="336"/>
      <c r="J333" s="336"/>
      <c r="K333" s="336"/>
      <c r="L333" s="343"/>
      <c r="M333" s="335"/>
      <c r="N333" s="335"/>
      <c r="O333" s="335"/>
      <c r="P333" s="331"/>
      <c r="Q333" s="332"/>
      <c r="W333" s="60"/>
    </row>
    <row r="334" spans="1:23" ht="14.25">
      <c r="A334" s="335"/>
      <c r="B334" s="335"/>
      <c r="C334" s="335"/>
      <c r="D334" s="336"/>
      <c r="E334" s="336"/>
      <c r="F334" s="336"/>
      <c r="G334" s="336"/>
      <c r="H334" s="336"/>
      <c r="I334" s="336"/>
      <c r="J334" s="336"/>
      <c r="K334" s="336"/>
      <c r="L334" s="343"/>
      <c r="M334" s="335"/>
      <c r="N334" s="335"/>
      <c r="O334" s="335"/>
      <c r="P334" s="331"/>
      <c r="Q334" s="332"/>
      <c r="W334" s="60"/>
    </row>
    <row r="335" spans="1:23" ht="14.25">
      <c r="A335" s="335"/>
      <c r="B335" s="335"/>
      <c r="C335" s="335"/>
      <c r="D335" s="336"/>
      <c r="E335" s="336"/>
      <c r="F335" s="336"/>
      <c r="G335" s="336"/>
      <c r="H335" s="336"/>
      <c r="I335" s="336"/>
      <c r="J335" s="336"/>
      <c r="K335" s="336"/>
      <c r="L335" s="343"/>
      <c r="M335" s="335"/>
      <c r="N335" s="335"/>
      <c r="O335" s="335"/>
      <c r="P335" s="331"/>
      <c r="Q335" s="332"/>
      <c r="W335" s="60"/>
    </row>
    <row r="336" spans="1:23" ht="14.25">
      <c r="A336" s="335"/>
      <c r="B336" s="335"/>
      <c r="C336" s="335"/>
      <c r="D336" s="336"/>
      <c r="E336" s="336"/>
      <c r="F336" s="336"/>
      <c r="G336" s="336"/>
      <c r="H336" s="336"/>
      <c r="I336" s="336"/>
      <c r="J336" s="336"/>
      <c r="K336" s="336"/>
      <c r="L336" s="343"/>
      <c r="M336" s="335"/>
      <c r="N336" s="335"/>
      <c r="O336" s="335"/>
      <c r="P336" s="331"/>
      <c r="Q336" s="332"/>
      <c r="W336" s="60"/>
    </row>
    <row r="337" spans="1:23" ht="14.25">
      <c r="A337" s="335"/>
      <c r="B337" s="335"/>
      <c r="C337" s="335"/>
      <c r="D337" s="336"/>
      <c r="E337" s="336"/>
      <c r="F337" s="336"/>
      <c r="G337" s="336"/>
      <c r="H337" s="336"/>
      <c r="I337" s="336"/>
      <c r="J337" s="336"/>
      <c r="K337" s="336"/>
      <c r="L337" s="343"/>
      <c r="M337" s="335"/>
      <c r="N337" s="335"/>
      <c r="O337" s="335"/>
      <c r="P337" s="331"/>
      <c r="Q337" s="332"/>
      <c r="W337" s="60"/>
    </row>
    <row r="338" spans="1:23" ht="14.25">
      <c r="A338" s="335"/>
      <c r="B338" s="335"/>
      <c r="C338" s="335"/>
      <c r="D338" s="336"/>
      <c r="E338" s="336"/>
      <c r="F338" s="336"/>
      <c r="G338" s="336"/>
      <c r="H338" s="336"/>
      <c r="I338" s="336"/>
      <c r="J338" s="336"/>
      <c r="K338" s="336"/>
      <c r="L338" s="343"/>
      <c r="M338" s="335"/>
      <c r="N338" s="335"/>
      <c r="O338" s="335"/>
      <c r="P338" s="331"/>
      <c r="Q338" s="332"/>
      <c r="W338" s="60"/>
    </row>
    <row r="339" spans="1:23" ht="14.25">
      <c r="A339" s="335"/>
      <c r="B339" s="335"/>
      <c r="C339" s="335"/>
      <c r="D339" s="336"/>
      <c r="E339" s="336"/>
      <c r="F339" s="336"/>
      <c r="G339" s="336"/>
      <c r="H339" s="336"/>
      <c r="I339" s="336"/>
      <c r="J339" s="336"/>
      <c r="K339" s="336"/>
      <c r="L339" s="343"/>
      <c r="M339" s="335"/>
      <c r="N339" s="335"/>
      <c r="O339" s="335"/>
      <c r="P339" s="331"/>
      <c r="Q339" s="332"/>
      <c r="W339" s="60"/>
    </row>
    <row r="340" spans="1:23" ht="14.25">
      <c r="A340" s="335"/>
      <c r="B340" s="335"/>
      <c r="C340" s="335"/>
      <c r="D340" s="336"/>
      <c r="E340" s="336"/>
      <c r="F340" s="336"/>
      <c r="G340" s="336"/>
      <c r="H340" s="336"/>
      <c r="I340" s="336"/>
      <c r="J340" s="336"/>
      <c r="K340" s="336"/>
      <c r="L340" s="343"/>
      <c r="M340" s="335"/>
      <c r="N340" s="335"/>
      <c r="O340" s="335"/>
      <c r="P340" s="331"/>
      <c r="Q340" s="332"/>
      <c r="W340" s="60"/>
    </row>
    <row r="341" spans="1:23" ht="14.25">
      <c r="A341" s="335"/>
      <c r="B341" s="335"/>
      <c r="C341" s="335"/>
      <c r="D341" s="336"/>
      <c r="E341" s="336"/>
      <c r="F341" s="336"/>
      <c r="G341" s="336"/>
      <c r="H341" s="336"/>
      <c r="I341" s="336"/>
      <c r="J341" s="336"/>
      <c r="K341" s="336"/>
      <c r="L341" s="343"/>
      <c r="M341" s="335"/>
      <c r="N341" s="335"/>
      <c r="O341" s="335"/>
      <c r="P341" s="331"/>
      <c r="Q341" s="332"/>
      <c r="W341" s="60"/>
    </row>
    <row r="342" spans="1:23" ht="14.25">
      <c r="A342" s="335"/>
      <c r="B342" s="335"/>
      <c r="C342" s="335"/>
      <c r="D342" s="336"/>
      <c r="E342" s="336"/>
      <c r="F342" s="336"/>
      <c r="G342" s="336"/>
      <c r="H342" s="336"/>
      <c r="I342" s="336"/>
      <c r="J342" s="336"/>
      <c r="K342" s="336"/>
      <c r="L342" s="343"/>
      <c r="M342" s="335"/>
      <c r="N342" s="335"/>
      <c r="O342" s="335"/>
      <c r="P342" s="331"/>
      <c r="Q342" s="332"/>
      <c r="W342" s="60"/>
    </row>
    <row r="343" spans="1:23" ht="14.25">
      <c r="A343" s="335"/>
      <c r="B343" s="335"/>
      <c r="C343" s="335"/>
      <c r="D343" s="336"/>
      <c r="E343" s="336"/>
      <c r="F343" s="336"/>
      <c r="G343" s="336"/>
      <c r="H343" s="336"/>
      <c r="I343" s="336"/>
      <c r="J343" s="336"/>
      <c r="K343" s="336"/>
      <c r="L343" s="343"/>
      <c r="M343" s="335"/>
      <c r="N343" s="335"/>
      <c r="O343" s="335"/>
      <c r="P343" s="331"/>
      <c r="Q343" s="332"/>
      <c r="W343" s="60"/>
    </row>
    <row r="344" spans="1:23" ht="14.25">
      <c r="A344" s="335"/>
      <c r="B344" s="335"/>
      <c r="C344" s="335"/>
      <c r="D344" s="336"/>
      <c r="E344" s="336"/>
      <c r="F344" s="336"/>
      <c r="G344" s="336"/>
      <c r="H344" s="336"/>
      <c r="I344" s="336"/>
      <c r="J344" s="336"/>
      <c r="K344" s="336"/>
      <c r="L344" s="343"/>
      <c r="M344" s="335"/>
      <c r="N344" s="335"/>
      <c r="O344" s="335"/>
      <c r="P344" s="331"/>
      <c r="Q344" s="332"/>
      <c r="W344" s="60"/>
    </row>
    <row r="345" spans="1:23" ht="14.25">
      <c r="A345" s="335"/>
      <c r="B345" s="335"/>
      <c r="C345" s="335"/>
      <c r="D345" s="336"/>
      <c r="E345" s="336"/>
      <c r="F345" s="336"/>
      <c r="G345" s="336"/>
      <c r="H345" s="336"/>
      <c r="I345" s="336"/>
      <c r="J345" s="336"/>
      <c r="K345" s="336"/>
      <c r="L345" s="343"/>
      <c r="M345" s="335"/>
      <c r="N345" s="335"/>
      <c r="O345" s="335"/>
      <c r="P345" s="331"/>
      <c r="Q345" s="332"/>
      <c r="W345" s="60"/>
    </row>
    <row r="346" spans="1:23" ht="14.25">
      <c r="A346" s="335"/>
      <c r="B346" s="335"/>
      <c r="C346" s="335"/>
      <c r="D346" s="336"/>
      <c r="E346" s="336"/>
      <c r="F346" s="336"/>
      <c r="G346" s="336"/>
      <c r="H346" s="336"/>
      <c r="I346" s="336"/>
      <c r="J346" s="336"/>
      <c r="K346" s="336"/>
      <c r="L346" s="343"/>
      <c r="M346" s="335"/>
      <c r="N346" s="335"/>
      <c r="O346" s="335"/>
      <c r="P346" s="331"/>
      <c r="Q346" s="332"/>
      <c r="W346" s="60"/>
    </row>
    <row r="347" spans="1:23" ht="14.25">
      <c r="A347" s="335"/>
      <c r="B347" s="335"/>
      <c r="C347" s="335"/>
      <c r="D347" s="336"/>
      <c r="E347" s="336"/>
      <c r="F347" s="336"/>
      <c r="G347" s="336"/>
      <c r="H347" s="336"/>
      <c r="I347" s="336"/>
      <c r="J347" s="336"/>
      <c r="K347" s="336"/>
      <c r="L347" s="343"/>
      <c r="M347" s="335"/>
      <c r="N347" s="335"/>
      <c r="O347" s="335"/>
      <c r="P347" s="331"/>
      <c r="Q347" s="332"/>
      <c r="W347" s="60"/>
    </row>
    <row r="348" spans="1:23" ht="14.25">
      <c r="A348" s="335"/>
      <c r="B348" s="335"/>
      <c r="C348" s="335"/>
      <c r="D348" s="336"/>
      <c r="E348" s="336"/>
      <c r="F348" s="336"/>
      <c r="G348" s="336"/>
      <c r="H348" s="336"/>
      <c r="I348" s="336"/>
      <c r="J348" s="336"/>
      <c r="K348" s="336"/>
      <c r="L348" s="343"/>
      <c r="M348" s="335"/>
      <c r="N348" s="335"/>
      <c r="O348" s="335"/>
      <c r="P348" s="331"/>
      <c r="Q348" s="332"/>
      <c r="W348" s="60"/>
    </row>
    <row r="349" spans="1:23" ht="14.25">
      <c r="A349" s="335"/>
      <c r="B349" s="335"/>
      <c r="C349" s="335"/>
      <c r="D349" s="336"/>
      <c r="E349" s="336"/>
      <c r="F349" s="336"/>
      <c r="G349" s="336"/>
      <c r="H349" s="336"/>
      <c r="I349" s="336"/>
      <c r="J349" s="336"/>
      <c r="K349" s="336"/>
      <c r="L349" s="343"/>
      <c r="M349" s="335"/>
      <c r="N349" s="335"/>
      <c r="O349" s="335"/>
      <c r="P349" s="331"/>
      <c r="Q349" s="332"/>
      <c r="W349" s="60"/>
    </row>
    <row r="350" spans="1:23" ht="14.25">
      <c r="A350" s="335"/>
      <c r="B350" s="335"/>
      <c r="C350" s="335"/>
      <c r="D350" s="336"/>
      <c r="E350" s="336"/>
      <c r="F350" s="336"/>
      <c r="G350" s="336"/>
      <c r="H350" s="336"/>
      <c r="I350" s="336"/>
      <c r="J350" s="336"/>
      <c r="K350" s="336"/>
      <c r="L350" s="343"/>
      <c r="M350" s="335"/>
      <c r="N350" s="335"/>
      <c r="O350" s="335"/>
      <c r="P350" s="331"/>
      <c r="Q350" s="332"/>
      <c r="W350" s="60"/>
    </row>
    <row r="351" spans="1:23" ht="14.25">
      <c r="A351" s="335"/>
      <c r="B351" s="335"/>
      <c r="C351" s="335"/>
      <c r="D351" s="336"/>
      <c r="E351" s="336"/>
      <c r="F351" s="336"/>
      <c r="G351" s="336"/>
      <c r="H351" s="336"/>
      <c r="I351" s="336"/>
      <c r="J351" s="336"/>
      <c r="K351" s="336"/>
      <c r="L351" s="343"/>
      <c r="M351" s="335"/>
      <c r="N351" s="335"/>
      <c r="O351" s="335"/>
      <c r="P351" s="331"/>
      <c r="Q351" s="332"/>
      <c r="W351" s="60"/>
    </row>
    <row r="352" spans="1:23" ht="14.25">
      <c r="A352" s="335"/>
      <c r="B352" s="335"/>
      <c r="C352" s="335"/>
      <c r="D352" s="336"/>
      <c r="E352" s="336"/>
      <c r="F352" s="336"/>
      <c r="G352" s="336"/>
      <c r="H352" s="336"/>
      <c r="I352" s="336"/>
      <c r="J352" s="336"/>
      <c r="K352" s="336"/>
      <c r="L352" s="343"/>
      <c r="M352" s="335"/>
      <c r="N352" s="335"/>
      <c r="O352" s="335"/>
      <c r="P352" s="331"/>
      <c r="Q352" s="332"/>
      <c r="W352" s="60"/>
    </row>
    <row r="353" spans="1:23" ht="14.25">
      <c r="A353" s="335"/>
      <c r="B353" s="335"/>
      <c r="C353" s="335"/>
      <c r="D353" s="336"/>
      <c r="E353" s="336"/>
      <c r="F353" s="336"/>
      <c r="G353" s="336"/>
      <c r="H353" s="336"/>
      <c r="I353" s="336"/>
      <c r="J353" s="336"/>
      <c r="K353" s="336"/>
      <c r="L353" s="343"/>
      <c r="M353" s="335"/>
      <c r="N353" s="335"/>
      <c r="O353" s="335"/>
      <c r="P353" s="331"/>
      <c r="Q353" s="332"/>
      <c r="W353" s="60"/>
    </row>
    <row r="354" spans="1:23" ht="14.25">
      <c r="A354" s="335"/>
      <c r="B354" s="335"/>
      <c r="C354" s="335"/>
      <c r="D354" s="336"/>
      <c r="E354" s="336"/>
      <c r="F354" s="336"/>
      <c r="G354" s="336"/>
      <c r="H354" s="336"/>
      <c r="I354" s="336"/>
      <c r="J354" s="336"/>
      <c r="K354" s="336"/>
      <c r="L354" s="343"/>
      <c r="M354" s="335"/>
      <c r="N354" s="335"/>
      <c r="O354" s="335"/>
      <c r="P354" s="331"/>
      <c r="Q354" s="332"/>
      <c r="W354" s="60"/>
    </row>
    <row r="355" spans="1:23" ht="14.25">
      <c r="A355" s="335"/>
      <c r="B355" s="335"/>
      <c r="C355" s="335"/>
      <c r="D355" s="336"/>
      <c r="E355" s="336"/>
      <c r="F355" s="336"/>
      <c r="G355" s="336"/>
      <c r="H355" s="336"/>
      <c r="I355" s="336"/>
      <c r="J355" s="336"/>
      <c r="K355" s="336"/>
      <c r="L355" s="343"/>
      <c r="M355" s="335"/>
      <c r="N355" s="335"/>
      <c r="O355" s="335"/>
      <c r="P355" s="331"/>
      <c r="Q355" s="332"/>
      <c r="W355" s="60"/>
    </row>
    <row r="356" spans="1:23" ht="14.25">
      <c r="A356" s="335"/>
      <c r="B356" s="335"/>
      <c r="C356" s="335"/>
      <c r="D356" s="336"/>
      <c r="E356" s="336"/>
      <c r="F356" s="336"/>
      <c r="G356" s="336"/>
      <c r="H356" s="336"/>
      <c r="I356" s="336"/>
      <c r="J356" s="336"/>
      <c r="K356" s="336"/>
      <c r="L356" s="343"/>
      <c r="M356" s="335"/>
      <c r="N356" s="335"/>
      <c r="O356" s="335"/>
      <c r="P356" s="331"/>
      <c r="Q356" s="332"/>
      <c r="W356" s="60"/>
    </row>
    <row r="357" spans="1:23" ht="14.25">
      <c r="A357" s="335"/>
      <c r="B357" s="335"/>
      <c r="C357" s="335"/>
      <c r="D357" s="336"/>
      <c r="E357" s="336"/>
      <c r="F357" s="336"/>
      <c r="G357" s="336"/>
      <c r="H357" s="336"/>
      <c r="I357" s="336"/>
      <c r="J357" s="336"/>
      <c r="K357" s="336"/>
      <c r="L357" s="343"/>
      <c r="M357" s="335"/>
      <c r="N357" s="335"/>
      <c r="O357" s="335"/>
      <c r="P357" s="331"/>
      <c r="Q357" s="332"/>
      <c r="W357" s="60"/>
    </row>
    <row r="358" spans="1:23" ht="14.25">
      <c r="A358" s="335"/>
      <c r="B358" s="335"/>
      <c r="C358" s="335"/>
      <c r="D358" s="336"/>
      <c r="E358" s="336"/>
      <c r="F358" s="336"/>
      <c r="G358" s="336"/>
      <c r="H358" s="336"/>
      <c r="I358" s="336"/>
      <c r="J358" s="336"/>
      <c r="K358" s="336"/>
      <c r="L358" s="343"/>
      <c r="M358" s="335"/>
      <c r="N358" s="335"/>
      <c r="O358" s="335"/>
      <c r="P358" s="331"/>
      <c r="Q358" s="332"/>
      <c r="W358" s="60"/>
    </row>
    <row r="359" spans="1:23" ht="14.25">
      <c r="A359" s="335"/>
      <c r="B359" s="335"/>
      <c r="C359" s="335"/>
      <c r="D359" s="336"/>
      <c r="E359" s="336"/>
      <c r="F359" s="336"/>
      <c r="G359" s="336"/>
      <c r="H359" s="336"/>
      <c r="I359" s="336"/>
      <c r="J359" s="336"/>
      <c r="K359" s="336"/>
      <c r="L359" s="343"/>
      <c r="M359" s="335"/>
      <c r="N359" s="335"/>
      <c r="O359" s="335"/>
      <c r="P359" s="331"/>
      <c r="Q359" s="332"/>
      <c r="W359" s="60"/>
    </row>
    <row r="360" spans="1:23" ht="14.25">
      <c r="A360" s="335"/>
      <c r="B360" s="335"/>
      <c r="C360" s="335"/>
      <c r="D360" s="336"/>
      <c r="E360" s="336"/>
      <c r="F360" s="336"/>
      <c r="G360" s="336"/>
      <c r="H360" s="336"/>
      <c r="I360" s="336"/>
      <c r="J360" s="336"/>
      <c r="K360" s="336"/>
      <c r="L360" s="343"/>
      <c r="M360" s="335"/>
      <c r="N360" s="335"/>
      <c r="O360" s="335"/>
      <c r="P360" s="331"/>
      <c r="Q360" s="332"/>
      <c r="W360" s="60"/>
    </row>
    <row r="361" spans="1:23" ht="14.25">
      <c r="A361" s="335"/>
      <c r="B361" s="335"/>
      <c r="C361" s="335"/>
      <c r="D361" s="336"/>
      <c r="E361" s="336"/>
      <c r="F361" s="336"/>
      <c r="G361" s="336"/>
      <c r="H361" s="336"/>
      <c r="I361" s="336"/>
      <c r="J361" s="336"/>
      <c r="K361" s="336"/>
      <c r="L361" s="343"/>
      <c r="M361" s="335"/>
      <c r="N361" s="335"/>
      <c r="O361" s="335"/>
      <c r="P361" s="331"/>
      <c r="Q361" s="332"/>
      <c r="W361" s="60"/>
    </row>
    <row r="362" spans="1:23" ht="14.25">
      <c r="A362" s="335"/>
      <c r="B362" s="335"/>
      <c r="C362" s="335"/>
      <c r="D362" s="336"/>
      <c r="E362" s="336"/>
      <c r="F362" s="336"/>
      <c r="G362" s="336"/>
      <c r="H362" s="336"/>
      <c r="I362" s="336"/>
      <c r="J362" s="336"/>
      <c r="K362" s="336"/>
      <c r="L362" s="343"/>
      <c r="M362" s="335"/>
      <c r="N362" s="335"/>
      <c r="O362" s="335"/>
      <c r="P362" s="331"/>
      <c r="Q362" s="332"/>
      <c r="W362" s="60"/>
    </row>
    <row r="363" spans="1:23" ht="14.25">
      <c r="A363" s="335"/>
      <c r="B363" s="335"/>
      <c r="C363" s="335"/>
      <c r="D363" s="336"/>
      <c r="E363" s="336"/>
      <c r="F363" s="336"/>
      <c r="G363" s="336"/>
      <c r="H363" s="336"/>
      <c r="I363" s="336"/>
      <c r="J363" s="336"/>
      <c r="K363" s="336"/>
      <c r="L363" s="343"/>
      <c r="M363" s="335"/>
      <c r="N363" s="335"/>
      <c r="O363" s="335"/>
      <c r="P363" s="331"/>
      <c r="Q363" s="332"/>
      <c r="W363" s="60"/>
    </row>
    <row r="364" spans="1:23" ht="14.25">
      <c r="A364" s="335"/>
      <c r="B364" s="335"/>
      <c r="C364" s="335"/>
      <c r="D364" s="336"/>
      <c r="E364" s="336"/>
      <c r="F364" s="336"/>
      <c r="G364" s="336"/>
      <c r="H364" s="336"/>
      <c r="I364" s="336"/>
      <c r="J364" s="336"/>
      <c r="K364" s="336"/>
      <c r="L364" s="343"/>
      <c r="M364" s="335"/>
      <c r="N364" s="335"/>
      <c r="O364" s="335"/>
      <c r="P364" s="331"/>
      <c r="Q364" s="332"/>
      <c r="W364" s="60"/>
    </row>
    <row r="365" spans="1:23" ht="14.25">
      <c r="A365" s="335"/>
      <c r="B365" s="335"/>
      <c r="C365" s="335"/>
      <c r="D365" s="336"/>
      <c r="E365" s="336"/>
      <c r="F365" s="336"/>
      <c r="G365" s="336"/>
      <c r="H365" s="336"/>
      <c r="I365" s="336"/>
      <c r="J365" s="336"/>
      <c r="K365" s="336"/>
      <c r="L365" s="343"/>
      <c r="M365" s="335"/>
      <c r="N365" s="335"/>
      <c r="O365" s="335"/>
      <c r="P365" s="331"/>
      <c r="Q365" s="332"/>
      <c r="W365" s="60"/>
    </row>
    <row r="366" spans="1:23" ht="14.25">
      <c r="A366" s="335"/>
      <c r="B366" s="335"/>
      <c r="C366" s="335"/>
      <c r="D366" s="336"/>
      <c r="E366" s="336"/>
      <c r="F366" s="336"/>
      <c r="G366" s="336"/>
      <c r="H366" s="336"/>
      <c r="I366" s="336"/>
      <c r="J366" s="336"/>
      <c r="K366" s="336"/>
      <c r="L366" s="343"/>
      <c r="M366" s="335"/>
      <c r="N366" s="335"/>
      <c r="O366" s="335"/>
      <c r="P366" s="331"/>
      <c r="Q366" s="332"/>
      <c r="W366" s="60"/>
    </row>
    <row r="367" spans="1:23" ht="14.25">
      <c r="A367" s="335"/>
      <c r="B367" s="335"/>
      <c r="C367" s="335"/>
      <c r="D367" s="336"/>
      <c r="E367" s="336"/>
      <c r="F367" s="336"/>
      <c r="G367" s="336"/>
      <c r="H367" s="336"/>
      <c r="I367" s="336"/>
      <c r="J367" s="336"/>
      <c r="K367" s="336"/>
      <c r="L367" s="343"/>
      <c r="M367" s="335"/>
      <c r="N367" s="335"/>
      <c r="O367" s="335"/>
      <c r="P367" s="331"/>
      <c r="Q367" s="332"/>
      <c r="W367" s="60"/>
    </row>
    <row r="368" spans="1:23" ht="14.25">
      <c r="A368" s="335"/>
      <c r="B368" s="335"/>
      <c r="C368" s="335"/>
      <c r="D368" s="336"/>
      <c r="E368" s="336"/>
      <c r="F368" s="336"/>
      <c r="G368" s="336"/>
      <c r="H368" s="336"/>
      <c r="I368" s="336"/>
      <c r="J368" s="336"/>
      <c r="K368" s="336"/>
      <c r="L368" s="343"/>
      <c r="M368" s="335"/>
      <c r="N368" s="335"/>
      <c r="O368" s="335"/>
      <c r="P368" s="331"/>
      <c r="Q368" s="332"/>
      <c r="W368" s="60"/>
    </row>
    <row r="369" spans="1:23" ht="14.25">
      <c r="A369" s="335"/>
      <c r="B369" s="335"/>
      <c r="C369" s="335"/>
      <c r="D369" s="336"/>
      <c r="E369" s="336"/>
      <c r="F369" s="336"/>
      <c r="G369" s="336"/>
      <c r="H369" s="336"/>
      <c r="I369" s="336"/>
      <c r="J369" s="336"/>
      <c r="K369" s="336"/>
      <c r="L369" s="343"/>
      <c r="M369" s="335"/>
      <c r="N369" s="335"/>
      <c r="O369" s="335"/>
      <c r="P369" s="331"/>
      <c r="Q369" s="332"/>
      <c r="W369" s="60"/>
    </row>
    <row r="370" spans="1:23" ht="14.25">
      <c r="A370" s="335"/>
      <c r="B370" s="335"/>
      <c r="C370" s="335"/>
      <c r="D370" s="336"/>
      <c r="E370" s="336"/>
      <c r="F370" s="336"/>
      <c r="G370" s="336"/>
      <c r="H370" s="336"/>
      <c r="I370" s="336"/>
      <c r="J370" s="336"/>
      <c r="K370" s="336"/>
      <c r="L370" s="343"/>
      <c r="M370" s="335"/>
      <c r="N370" s="335"/>
      <c r="O370" s="335"/>
      <c r="P370" s="331"/>
      <c r="Q370" s="332"/>
      <c r="W370" s="60"/>
    </row>
    <row r="371" spans="1:23" ht="14.25">
      <c r="A371" s="335"/>
      <c r="B371" s="335"/>
      <c r="C371" s="335"/>
      <c r="D371" s="336"/>
      <c r="E371" s="336"/>
      <c r="F371" s="336"/>
      <c r="G371" s="336"/>
      <c r="H371" s="336"/>
      <c r="I371" s="336"/>
      <c r="J371" s="336"/>
      <c r="K371" s="336"/>
      <c r="L371" s="343"/>
      <c r="M371" s="335"/>
      <c r="N371" s="335"/>
      <c r="O371" s="335"/>
      <c r="P371" s="331"/>
      <c r="Q371" s="332"/>
      <c r="W371" s="60"/>
    </row>
    <row r="372" spans="1:23" ht="14.25">
      <c r="A372" s="335"/>
      <c r="B372" s="335"/>
      <c r="C372" s="335"/>
      <c r="D372" s="336"/>
      <c r="E372" s="336"/>
      <c r="F372" s="336"/>
      <c r="G372" s="336"/>
      <c r="H372" s="336"/>
      <c r="I372" s="336"/>
      <c r="J372" s="336"/>
      <c r="K372" s="336"/>
      <c r="L372" s="343"/>
      <c r="M372" s="335"/>
      <c r="N372" s="335"/>
      <c r="O372" s="335"/>
      <c r="P372" s="331"/>
      <c r="Q372" s="332"/>
      <c r="W372" s="60"/>
    </row>
    <row r="373" spans="1:23" ht="14.25">
      <c r="A373" s="335"/>
      <c r="B373" s="335"/>
      <c r="C373" s="335"/>
      <c r="D373" s="336"/>
      <c r="E373" s="336"/>
      <c r="F373" s="336"/>
      <c r="G373" s="336"/>
      <c r="H373" s="336"/>
      <c r="I373" s="336"/>
      <c r="J373" s="336"/>
      <c r="K373" s="336"/>
      <c r="L373" s="343"/>
      <c r="M373" s="335"/>
      <c r="N373" s="335"/>
      <c r="O373" s="335"/>
      <c r="P373" s="331"/>
      <c r="Q373" s="332"/>
      <c r="W373" s="60"/>
    </row>
    <row r="374" spans="1:23" ht="14.25">
      <c r="A374" s="335"/>
      <c r="B374" s="335"/>
      <c r="C374" s="335"/>
      <c r="D374" s="336"/>
      <c r="E374" s="336"/>
      <c r="F374" s="336"/>
      <c r="G374" s="336"/>
      <c r="H374" s="336"/>
      <c r="I374" s="336"/>
      <c r="J374" s="336"/>
      <c r="K374" s="336"/>
      <c r="L374" s="343"/>
      <c r="M374" s="335"/>
      <c r="N374" s="335"/>
      <c r="O374" s="335"/>
      <c r="P374" s="331"/>
      <c r="Q374" s="332"/>
      <c r="W374" s="60"/>
    </row>
    <row r="375" spans="1:23" ht="14.25">
      <c r="A375" s="335"/>
      <c r="B375" s="335"/>
      <c r="C375" s="335"/>
      <c r="D375" s="336"/>
      <c r="E375" s="336"/>
      <c r="F375" s="336"/>
      <c r="G375" s="336"/>
      <c r="H375" s="336"/>
      <c r="I375" s="336"/>
      <c r="J375" s="336"/>
      <c r="K375" s="336"/>
      <c r="L375" s="343"/>
      <c r="M375" s="335"/>
      <c r="N375" s="335"/>
      <c r="O375" s="335"/>
      <c r="P375" s="331"/>
      <c r="Q375" s="332"/>
      <c r="W375" s="60"/>
    </row>
    <row r="376" spans="1:23" ht="14.25">
      <c r="A376" s="335"/>
      <c r="B376" s="335"/>
      <c r="C376" s="335"/>
      <c r="D376" s="336"/>
      <c r="E376" s="336"/>
      <c r="F376" s="336"/>
      <c r="G376" s="336"/>
      <c r="H376" s="336"/>
      <c r="I376" s="336"/>
      <c r="J376" s="336"/>
      <c r="K376" s="336"/>
      <c r="L376" s="343"/>
      <c r="M376" s="335"/>
      <c r="N376" s="335"/>
      <c r="O376" s="335"/>
      <c r="P376" s="331"/>
      <c r="Q376" s="332"/>
      <c r="W376" s="60"/>
    </row>
    <row r="377" spans="1:23" ht="14.25">
      <c r="A377" s="335"/>
      <c r="B377" s="335"/>
      <c r="C377" s="335"/>
      <c r="D377" s="336"/>
      <c r="E377" s="336"/>
      <c r="F377" s="336"/>
      <c r="G377" s="336"/>
      <c r="H377" s="336"/>
      <c r="I377" s="336"/>
      <c r="J377" s="336"/>
      <c r="K377" s="336"/>
      <c r="L377" s="343"/>
      <c r="M377" s="335"/>
      <c r="N377" s="335"/>
      <c r="O377" s="335"/>
      <c r="P377" s="331"/>
      <c r="Q377" s="332"/>
      <c r="W377" s="60"/>
    </row>
    <row r="378" spans="1:23" ht="14.25">
      <c r="A378" s="335"/>
      <c r="B378" s="335"/>
      <c r="C378" s="335"/>
      <c r="D378" s="336"/>
      <c r="E378" s="336"/>
      <c r="F378" s="336"/>
      <c r="G378" s="336"/>
      <c r="H378" s="336"/>
      <c r="I378" s="336"/>
      <c r="J378" s="336"/>
      <c r="K378" s="336"/>
      <c r="L378" s="343"/>
      <c r="M378" s="335"/>
      <c r="N378" s="335"/>
      <c r="O378" s="335"/>
      <c r="P378" s="331"/>
      <c r="Q378" s="332"/>
      <c r="W378" s="60"/>
    </row>
    <row r="379" spans="1:23" ht="14.25">
      <c r="A379" s="335"/>
      <c r="B379" s="335"/>
      <c r="C379" s="335"/>
      <c r="D379" s="336"/>
      <c r="E379" s="336"/>
      <c r="F379" s="336"/>
      <c r="G379" s="336"/>
      <c r="H379" s="336"/>
      <c r="I379" s="336"/>
      <c r="J379" s="336"/>
      <c r="K379" s="336"/>
      <c r="L379" s="343"/>
      <c r="M379" s="335"/>
      <c r="N379" s="335"/>
      <c r="O379" s="335"/>
      <c r="P379" s="331"/>
      <c r="Q379" s="332"/>
      <c r="W379" s="60"/>
    </row>
    <row r="380" spans="1:23" ht="14.25">
      <c r="A380" s="335"/>
      <c r="B380" s="335"/>
      <c r="C380" s="335"/>
      <c r="D380" s="336"/>
      <c r="E380" s="336"/>
      <c r="F380" s="336"/>
      <c r="G380" s="336"/>
      <c r="H380" s="336"/>
      <c r="I380" s="336"/>
      <c r="J380" s="336"/>
      <c r="K380" s="336"/>
      <c r="L380" s="343"/>
      <c r="M380" s="335"/>
      <c r="N380" s="335"/>
      <c r="O380" s="335"/>
      <c r="P380" s="331"/>
      <c r="Q380" s="332"/>
      <c r="W380" s="60"/>
    </row>
    <row r="381" spans="1:23" ht="14.25">
      <c r="A381" s="335"/>
      <c r="B381" s="335"/>
      <c r="C381" s="335"/>
      <c r="D381" s="336"/>
      <c r="E381" s="336"/>
      <c r="F381" s="336"/>
      <c r="G381" s="336"/>
      <c r="H381" s="336"/>
      <c r="I381" s="336"/>
      <c r="J381" s="336"/>
      <c r="K381" s="336"/>
      <c r="L381" s="343"/>
      <c r="M381" s="335"/>
      <c r="N381" s="335"/>
      <c r="O381" s="335"/>
      <c r="P381" s="331"/>
      <c r="Q381" s="332"/>
      <c r="W381" s="60"/>
    </row>
    <row r="382" spans="1:23" ht="14.25">
      <c r="A382" s="335"/>
      <c r="B382" s="335"/>
      <c r="C382" s="335"/>
      <c r="D382" s="336"/>
      <c r="E382" s="336"/>
      <c r="F382" s="336"/>
      <c r="G382" s="336"/>
      <c r="H382" s="336"/>
      <c r="I382" s="336"/>
      <c r="J382" s="336"/>
      <c r="K382" s="336"/>
      <c r="L382" s="343"/>
      <c r="M382" s="335"/>
      <c r="N382" s="335"/>
      <c r="O382" s="335"/>
      <c r="P382" s="331"/>
      <c r="Q382" s="332"/>
      <c r="W382" s="60"/>
    </row>
    <row r="383" spans="1:23" ht="14.25">
      <c r="A383" s="335"/>
      <c r="B383" s="335"/>
      <c r="C383" s="335"/>
      <c r="D383" s="336"/>
      <c r="E383" s="336"/>
      <c r="F383" s="336"/>
      <c r="G383" s="336"/>
      <c r="H383" s="336"/>
      <c r="I383" s="336"/>
      <c r="J383" s="336"/>
      <c r="K383" s="336"/>
      <c r="L383" s="343"/>
      <c r="M383" s="335"/>
      <c r="N383" s="335"/>
      <c r="O383" s="335"/>
      <c r="P383" s="331"/>
      <c r="Q383" s="332"/>
      <c r="W383" s="60"/>
    </row>
    <row r="384" spans="1:23" ht="14.25">
      <c r="A384" s="335"/>
      <c r="B384" s="335"/>
      <c r="C384" s="335"/>
      <c r="D384" s="336"/>
      <c r="E384" s="336"/>
      <c r="F384" s="336"/>
      <c r="G384" s="336"/>
      <c r="H384" s="336"/>
      <c r="I384" s="336"/>
      <c r="J384" s="336"/>
      <c r="K384" s="336"/>
      <c r="L384" s="343"/>
      <c r="M384" s="335"/>
      <c r="N384" s="335"/>
      <c r="O384" s="335"/>
      <c r="P384" s="331"/>
      <c r="Q384" s="332"/>
      <c r="W384" s="60"/>
    </row>
    <row r="385" spans="1:23" ht="14.25">
      <c r="A385" s="335"/>
      <c r="B385" s="335"/>
      <c r="C385" s="335"/>
      <c r="D385" s="336"/>
      <c r="E385" s="336"/>
      <c r="F385" s="336"/>
      <c r="G385" s="336"/>
      <c r="H385" s="336"/>
      <c r="I385" s="336"/>
      <c r="J385" s="336"/>
      <c r="K385" s="336"/>
      <c r="L385" s="343"/>
      <c r="M385" s="335"/>
      <c r="N385" s="335"/>
      <c r="O385" s="335"/>
      <c r="P385" s="331"/>
      <c r="Q385" s="332"/>
      <c r="W385" s="60"/>
    </row>
    <row r="386" spans="1:23" ht="14.25">
      <c r="A386" s="335"/>
      <c r="B386" s="335"/>
      <c r="C386" s="335"/>
      <c r="D386" s="336"/>
      <c r="E386" s="336"/>
      <c r="F386" s="336"/>
      <c r="G386" s="336"/>
      <c r="H386" s="336"/>
      <c r="I386" s="336"/>
      <c r="J386" s="336"/>
      <c r="K386" s="336"/>
      <c r="L386" s="343"/>
      <c r="M386" s="335"/>
      <c r="N386" s="335"/>
      <c r="O386" s="335"/>
      <c r="P386" s="331"/>
      <c r="Q386" s="332"/>
      <c r="W386" s="60"/>
    </row>
    <row r="387" spans="1:23" ht="14.25">
      <c r="A387" s="335"/>
      <c r="B387" s="335"/>
      <c r="C387" s="335"/>
      <c r="D387" s="336"/>
      <c r="E387" s="336"/>
      <c r="F387" s="336"/>
      <c r="G387" s="336"/>
      <c r="H387" s="336"/>
      <c r="I387" s="336"/>
      <c r="J387" s="336"/>
      <c r="K387" s="336"/>
      <c r="L387" s="343"/>
      <c r="M387" s="335"/>
      <c r="N387" s="335"/>
      <c r="O387" s="335"/>
      <c r="P387" s="331"/>
      <c r="Q387" s="332"/>
      <c r="W387" s="60"/>
    </row>
    <row r="388" spans="1:23" ht="14.25">
      <c r="A388" s="335"/>
      <c r="B388" s="335"/>
      <c r="C388" s="335"/>
      <c r="D388" s="336"/>
      <c r="E388" s="336"/>
      <c r="F388" s="336"/>
      <c r="G388" s="336"/>
      <c r="H388" s="336"/>
      <c r="I388" s="336"/>
      <c r="J388" s="336"/>
      <c r="K388" s="336"/>
      <c r="L388" s="343"/>
      <c r="M388" s="335"/>
      <c r="N388" s="335"/>
      <c r="O388" s="335"/>
      <c r="P388" s="331"/>
      <c r="Q388" s="332"/>
      <c r="W388" s="60"/>
    </row>
    <row r="389" spans="1:23" ht="14.25">
      <c r="A389" s="335"/>
      <c r="B389" s="335"/>
      <c r="C389" s="335"/>
      <c r="D389" s="336"/>
      <c r="E389" s="336"/>
      <c r="F389" s="336"/>
      <c r="G389" s="336"/>
      <c r="H389" s="336"/>
      <c r="I389" s="336"/>
      <c r="J389" s="336"/>
      <c r="K389" s="336"/>
      <c r="L389" s="343"/>
      <c r="M389" s="335"/>
      <c r="N389" s="335"/>
      <c r="O389" s="335"/>
      <c r="P389" s="331"/>
      <c r="Q389" s="332"/>
      <c r="W389" s="60"/>
    </row>
    <row r="390" spans="1:23" ht="14.25">
      <c r="A390" s="335"/>
      <c r="B390" s="335"/>
      <c r="C390" s="335"/>
      <c r="D390" s="336"/>
      <c r="E390" s="336"/>
      <c r="F390" s="336"/>
      <c r="G390" s="336"/>
      <c r="H390" s="336"/>
      <c r="I390" s="336"/>
      <c r="J390" s="336"/>
      <c r="K390" s="336"/>
      <c r="L390" s="343"/>
      <c r="M390" s="335"/>
      <c r="N390" s="335"/>
      <c r="O390" s="335"/>
      <c r="P390" s="331"/>
      <c r="Q390" s="332"/>
      <c r="W390" s="60"/>
    </row>
    <row r="391" spans="1:23" ht="14.25">
      <c r="A391" s="335"/>
      <c r="B391" s="335"/>
      <c r="C391" s="335"/>
      <c r="D391" s="336"/>
      <c r="E391" s="336"/>
      <c r="F391" s="336"/>
      <c r="G391" s="336"/>
      <c r="H391" s="336"/>
      <c r="I391" s="336"/>
      <c r="J391" s="336"/>
      <c r="K391" s="336"/>
      <c r="L391" s="343"/>
      <c r="M391" s="335"/>
      <c r="N391" s="335"/>
      <c r="O391" s="335"/>
      <c r="P391" s="331"/>
      <c r="Q391" s="332"/>
      <c r="W391" s="60"/>
    </row>
    <row r="392" spans="1:23" ht="14.25">
      <c r="A392" s="335"/>
      <c r="B392" s="335"/>
      <c r="C392" s="335"/>
      <c r="D392" s="336"/>
      <c r="E392" s="336"/>
      <c r="F392" s="336"/>
      <c r="G392" s="336"/>
      <c r="H392" s="336"/>
      <c r="I392" s="336"/>
      <c r="J392" s="336"/>
      <c r="K392" s="336"/>
      <c r="L392" s="343"/>
      <c r="M392" s="335"/>
      <c r="N392" s="335"/>
      <c r="O392" s="335"/>
      <c r="P392" s="331"/>
      <c r="Q392" s="332"/>
      <c r="W392" s="60"/>
    </row>
    <row r="393" spans="1:23" ht="14.25">
      <c r="A393" s="335"/>
      <c r="B393" s="335"/>
      <c r="C393" s="335"/>
      <c r="D393" s="336"/>
      <c r="E393" s="336"/>
      <c r="F393" s="336"/>
      <c r="G393" s="336"/>
      <c r="H393" s="336"/>
      <c r="I393" s="336"/>
      <c r="J393" s="336"/>
      <c r="K393" s="336"/>
      <c r="L393" s="343"/>
      <c r="M393" s="335"/>
      <c r="N393" s="335"/>
      <c r="O393" s="335"/>
      <c r="P393" s="331"/>
      <c r="Q393" s="332"/>
      <c r="W393" s="60"/>
    </row>
    <row r="394" spans="1:23" ht="14.25">
      <c r="A394" s="335"/>
      <c r="B394" s="335"/>
      <c r="C394" s="335"/>
      <c r="D394" s="336"/>
      <c r="E394" s="336"/>
      <c r="F394" s="336"/>
      <c r="G394" s="336"/>
      <c r="H394" s="336"/>
      <c r="I394" s="336"/>
      <c r="J394" s="336"/>
      <c r="K394" s="336"/>
      <c r="L394" s="343"/>
      <c r="M394" s="335"/>
      <c r="N394" s="335"/>
      <c r="O394" s="335"/>
      <c r="P394" s="331"/>
      <c r="Q394" s="332"/>
      <c r="W394" s="60"/>
    </row>
    <row r="395" spans="1:23" ht="14.25">
      <c r="A395" s="335"/>
      <c r="B395" s="335"/>
      <c r="C395" s="335"/>
      <c r="D395" s="336"/>
      <c r="E395" s="336"/>
      <c r="F395" s="336"/>
      <c r="G395" s="336"/>
      <c r="H395" s="336"/>
      <c r="I395" s="336"/>
      <c r="J395" s="336"/>
      <c r="K395" s="336"/>
      <c r="L395" s="343"/>
      <c r="M395" s="335"/>
      <c r="N395" s="335"/>
      <c r="O395" s="335"/>
      <c r="P395" s="331"/>
      <c r="Q395" s="332"/>
      <c r="W395" s="60"/>
    </row>
    <row r="396" spans="1:23" ht="14.25">
      <c r="A396" s="335"/>
      <c r="B396" s="335"/>
      <c r="C396" s="335"/>
      <c r="D396" s="336"/>
      <c r="E396" s="336"/>
      <c r="F396" s="336"/>
      <c r="G396" s="336"/>
      <c r="H396" s="336"/>
      <c r="I396" s="336"/>
      <c r="J396" s="336"/>
      <c r="K396" s="336"/>
      <c r="L396" s="343"/>
      <c r="M396" s="335"/>
      <c r="N396" s="335"/>
      <c r="O396" s="335"/>
      <c r="P396" s="331"/>
      <c r="Q396" s="332"/>
      <c r="W396" s="60"/>
    </row>
    <row r="397" spans="1:23" ht="14.25">
      <c r="A397" s="335"/>
      <c r="B397" s="335"/>
      <c r="C397" s="335"/>
      <c r="D397" s="336"/>
      <c r="E397" s="336"/>
      <c r="F397" s="336"/>
      <c r="G397" s="336"/>
      <c r="H397" s="336"/>
      <c r="I397" s="336"/>
      <c r="J397" s="336"/>
      <c r="K397" s="336"/>
      <c r="L397" s="343"/>
      <c r="M397" s="335"/>
      <c r="N397" s="335"/>
      <c r="O397" s="335"/>
      <c r="P397" s="331"/>
      <c r="Q397" s="332"/>
      <c r="W397" s="60"/>
    </row>
    <row r="398" spans="1:23" ht="14.25">
      <c r="A398" s="335"/>
      <c r="B398" s="335"/>
      <c r="C398" s="335"/>
      <c r="D398" s="336"/>
      <c r="E398" s="336"/>
      <c r="F398" s="336"/>
      <c r="G398" s="336"/>
      <c r="H398" s="336"/>
      <c r="I398" s="336"/>
      <c r="J398" s="336"/>
      <c r="K398" s="336"/>
      <c r="L398" s="343"/>
      <c r="M398" s="335"/>
      <c r="N398" s="335"/>
      <c r="O398" s="335"/>
      <c r="P398" s="331"/>
      <c r="Q398" s="332"/>
      <c r="W398" s="60"/>
    </row>
    <row r="399" spans="1:23" ht="14.25">
      <c r="A399" s="335"/>
      <c r="B399" s="335"/>
      <c r="C399" s="335"/>
      <c r="D399" s="336"/>
      <c r="E399" s="336"/>
      <c r="F399" s="336"/>
      <c r="G399" s="336"/>
      <c r="H399" s="336"/>
      <c r="I399" s="336"/>
      <c r="J399" s="336"/>
      <c r="K399" s="336"/>
      <c r="L399" s="343"/>
      <c r="M399" s="335"/>
      <c r="N399" s="335"/>
      <c r="O399" s="335"/>
      <c r="P399" s="331"/>
      <c r="Q399" s="332"/>
      <c r="W399" s="60"/>
    </row>
    <row r="400" spans="1:23" ht="14.25">
      <c r="A400" s="335"/>
      <c r="B400" s="335"/>
      <c r="C400" s="335"/>
      <c r="D400" s="336"/>
      <c r="E400" s="336"/>
      <c r="F400" s="336"/>
      <c r="G400" s="336"/>
      <c r="H400" s="336"/>
      <c r="I400" s="336"/>
      <c r="J400" s="336"/>
      <c r="K400" s="336"/>
      <c r="L400" s="343"/>
      <c r="M400" s="335"/>
      <c r="N400" s="335"/>
      <c r="O400" s="335"/>
      <c r="P400" s="331"/>
      <c r="Q400" s="332"/>
      <c r="W400" s="60"/>
    </row>
    <row r="401" spans="1:23" ht="14.25">
      <c r="A401" s="335"/>
      <c r="B401" s="335"/>
      <c r="C401" s="335"/>
      <c r="D401" s="336"/>
      <c r="E401" s="336"/>
      <c r="F401" s="336"/>
      <c r="G401" s="336"/>
      <c r="H401" s="336"/>
      <c r="I401" s="336"/>
      <c r="J401" s="336"/>
      <c r="K401" s="336"/>
      <c r="L401" s="343"/>
      <c r="M401" s="335"/>
      <c r="N401" s="335"/>
      <c r="O401" s="335"/>
      <c r="P401" s="331"/>
      <c r="Q401" s="332"/>
      <c r="W401" s="60"/>
    </row>
    <row r="402" spans="1:23" ht="14.25">
      <c r="A402" s="335"/>
      <c r="B402" s="335"/>
      <c r="C402" s="335"/>
      <c r="D402" s="336"/>
      <c r="E402" s="336"/>
      <c r="F402" s="336"/>
      <c r="G402" s="336"/>
      <c r="H402" s="336"/>
      <c r="I402" s="336"/>
      <c r="J402" s="336"/>
      <c r="K402" s="336"/>
      <c r="L402" s="343"/>
      <c r="M402" s="335"/>
      <c r="N402" s="335"/>
      <c r="O402" s="335"/>
      <c r="P402" s="331"/>
      <c r="Q402" s="332"/>
      <c r="W402" s="60"/>
    </row>
    <row r="403" spans="1:23" ht="14.25">
      <c r="A403" s="335"/>
      <c r="B403" s="335"/>
      <c r="C403" s="335"/>
      <c r="D403" s="336"/>
      <c r="E403" s="336"/>
      <c r="F403" s="336"/>
      <c r="G403" s="336"/>
      <c r="H403" s="336"/>
      <c r="I403" s="336"/>
      <c r="J403" s="336"/>
      <c r="K403" s="336"/>
      <c r="L403" s="343"/>
      <c r="M403" s="335"/>
      <c r="N403" s="335"/>
      <c r="O403" s="335"/>
      <c r="P403" s="331"/>
      <c r="Q403" s="332"/>
      <c r="W403" s="60"/>
    </row>
    <row r="404" spans="1:23" ht="14.25">
      <c r="A404" s="335"/>
      <c r="B404" s="335"/>
      <c r="C404" s="335"/>
      <c r="D404" s="336"/>
      <c r="E404" s="336"/>
      <c r="F404" s="336"/>
      <c r="G404" s="336"/>
      <c r="H404" s="336"/>
      <c r="I404" s="336"/>
      <c r="J404" s="336"/>
      <c r="K404" s="336"/>
      <c r="L404" s="343"/>
      <c r="M404" s="335"/>
      <c r="N404" s="335"/>
      <c r="O404" s="335"/>
      <c r="P404" s="331"/>
      <c r="Q404" s="332"/>
      <c r="W404" s="60"/>
    </row>
    <row r="405" spans="1:23" ht="14.25">
      <c r="A405" s="335"/>
      <c r="B405" s="335"/>
      <c r="C405" s="335"/>
      <c r="D405" s="336"/>
      <c r="E405" s="336"/>
      <c r="F405" s="336"/>
      <c r="G405" s="336"/>
      <c r="H405" s="336"/>
      <c r="I405" s="336"/>
      <c r="J405" s="336"/>
      <c r="K405" s="336"/>
      <c r="L405" s="343"/>
      <c r="M405" s="335"/>
      <c r="N405" s="335"/>
      <c r="O405" s="335"/>
      <c r="P405" s="331"/>
      <c r="Q405" s="332"/>
      <c r="W405" s="60"/>
    </row>
    <row r="406" spans="1:23" ht="14.25">
      <c r="A406" s="335"/>
      <c r="B406" s="335"/>
      <c r="C406" s="335"/>
      <c r="D406" s="336"/>
      <c r="E406" s="336"/>
      <c r="F406" s="336"/>
      <c r="G406" s="336"/>
      <c r="H406" s="336"/>
      <c r="I406" s="336"/>
      <c r="J406" s="336"/>
      <c r="K406" s="336"/>
      <c r="L406" s="343"/>
      <c r="M406" s="335"/>
      <c r="N406" s="335"/>
      <c r="O406" s="335"/>
      <c r="P406" s="331"/>
      <c r="Q406" s="332"/>
      <c r="W406" s="60"/>
    </row>
    <row r="407" spans="1:23" ht="14.25">
      <c r="A407" s="335"/>
      <c r="B407" s="335"/>
      <c r="C407" s="335"/>
      <c r="D407" s="336"/>
      <c r="E407" s="336"/>
      <c r="F407" s="336"/>
      <c r="G407" s="336"/>
      <c r="H407" s="336"/>
      <c r="I407" s="336"/>
      <c r="J407" s="336"/>
      <c r="K407" s="336"/>
      <c r="L407" s="343"/>
      <c r="M407" s="335"/>
      <c r="N407" s="335"/>
      <c r="O407" s="335"/>
      <c r="P407" s="331"/>
      <c r="Q407" s="332"/>
      <c r="W407" s="60"/>
    </row>
    <row r="408" spans="1:23" ht="14.25">
      <c r="A408" s="335"/>
      <c r="B408" s="335"/>
      <c r="C408" s="335"/>
      <c r="D408" s="336"/>
      <c r="E408" s="336"/>
      <c r="F408" s="336"/>
      <c r="G408" s="336"/>
      <c r="H408" s="336"/>
      <c r="I408" s="336"/>
      <c r="J408" s="336"/>
      <c r="K408" s="336"/>
      <c r="L408" s="343"/>
      <c r="M408" s="335"/>
      <c r="N408" s="335"/>
      <c r="O408" s="335"/>
      <c r="P408" s="331"/>
      <c r="Q408" s="332"/>
      <c r="W408" s="60"/>
    </row>
    <row r="409" spans="1:23" ht="14.25">
      <c r="A409" s="335"/>
      <c r="B409" s="335"/>
      <c r="C409" s="335"/>
      <c r="D409" s="336"/>
      <c r="E409" s="336"/>
      <c r="F409" s="336"/>
      <c r="G409" s="336"/>
      <c r="H409" s="336"/>
      <c r="I409" s="336"/>
      <c r="J409" s="336"/>
      <c r="K409" s="336"/>
      <c r="L409" s="343"/>
      <c r="M409" s="335"/>
      <c r="N409" s="335"/>
      <c r="O409" s="335"/>
      <c r="P409" s="331"/>
      <c r="Q409" s="332"/>
      <c r="W409" s="60"/>
    </row>
    <row r="410" spans="1:23" ht="14.25">
      <c r="A410" s="335"/>
      <c r="B410" s="335"/>
      <c r="C410" s="335"/>
      <c r="D410" s="336"/>
      <c r="E410" s="336"/>
      <c r="F410" s="336"/>
      <c r="G410" s="336"/>
      <c r="H410" s="336"/>
      <c r="I410" s="336"/>
      <c r="J410" s="336"/>
      <c r="K410" s="336"/>
      <c r="L410" s="343"/>
      <c r="M410" s="335"/>
      <c r="N410" s="335"/>
      <c r="O410" s="335"/>
      <c r="P410" s="331"/>
      <c r="Q410" s="332"/>
      <c r="W410" s="60"/>
    </row>
    <row r="411" spans="1:23" ht="14.25">
      <c r="A411" s="335"/>
      <c r="B411" s="335"/>
      <c r="C411" s="335"/>
      <c r="D411" s="336"/>
      <c r="E411" s="336"/>
      <c r="F411" s="336"/>
      <c r="G411" s="336"/>
      <c r="H411" s="336"/>
      <c r="I411" s="336"/>
      <c r="J411" s="336"/>
      <c r="K411" s="336"/>
      <c r="L411" s="343"/>
      <c r="M411" s="335"/>
      <c r="N411" s="335"/>
      <c r="O411" s="335"/>
      <c r="P411" s="331"/>
      <c r="Q411" s="332"/>
      <c r="W411" s="60"/>
    </row>
    <row r="412" spans="1:23" ht="14.25">
      <c r="A412" s="335"/>
      <c r="B412" s="335"/>
      <c r="C412" s="335"/>
      <c r="D412" s="336"/>
      <c r="E412" s="336"/>
      <c r="F412" s="336"/>
      <c r="G412" s="336"/>
      <c r="H412" s="336"/>
      <c r="I412" s="336"/>
      <c r="J412" s="336"/>
      <c r="K412" s="336"/>
      <c r="L412" s="343"/>
      <c r="M412" s="335"/>
      <c r="N412" s="335"/>
      <c r="O412" s="335"/>
      <c r="P412" s="331"/>
      <c r="Q412" s="332"/>
      <c r="W412" s="60"/>
    </row>
    <row r="413" spans="1:23" ht="14.25">
      <c r="A413" s="335"/>
      <c r="B413" s="335"/>
      <c r="C413" s="335"/>
      <c r="D413" s="336"/>
      <c r="E413" s="336"/>
      <c r="F413" s="336"/>
      <c r="G413" s="336"/>
      <c r="H413" s="336"/>
      <c r="I413" s="336"/>
      <c r="J413" s="336"/>
      <c r="K413" s="336"/>
      <c r="L413" s="343"/>
      <c r="M413" s="335"/>
      <c r="N413" s="335"/>
      <c r="O413" s="335"/>
      <c r="P413" s="331"/>
      <c r="Q413" s="332"/>
      <c r="W413" s="60"/>
    </row>
    <row r="414" spans="1:23" ht="14.25">
      <c r="A414" s="335"/>
      <c r="B414" s="335"/>
      <c r="C414" s="335"/>
      <c r="D414" s="336"/>
      <c r="E414" s="336"/>
      <c r="F414" s="336"/>
      <c r="G414" s="336"/>
      <c r="H414" s="336"/>
      <c r="I414" s="336"/>
      <c r="J414" s="336"/>
      <c r="K414" s="336"/>
      <c r="L414" s="343"/>
      <c r="M414" s="335"/>
      <c r="N414" s="335"/>
      <c r="O414" s="335"/>
      <c r="P414" s="331"/>
      <c r="Q414" s="332"/>
      <c r="W414" s="60"/>
    </row>
    <row r="415" spans="1:23" ht="14.25">
      <c r="A415" s="335"/>
      <c r="B415" s="335"/>
      <c r="C415" s="335"/>
      <c r="D415" s="336"/>
      <c r="E415" s="336"/>
      <c r="F415" s="336"/>
      <c r="G415" s="336"/>
      <c r="H415" s="336"/>
      <c r="I415" s="336"/>
      <c r="J415" s="336"/>
      <c r="K415" s="336"/>
      <c r="L415" s="343"/>
      <c r="M415" s="335"/>
      <c r="N415" s="335"/>
      <c r="O415" s="335"/>
      <c r="P415" s="331"/>
      <c r="Q415" s="332"/>
      <c r="W415" s="60"/>
    </row>
    <row r="416" spans="1:23" ht="14.25">
      <c r="A416" s="335"/>
      <c r="B416" s="335"/>
      <c r="C416" s="335"/>
      <c r="D416" s="336"/>
      <c r="E416" s="336"/>
      <c r="F416" s="336"/>
      <c r="G416" s="336"/>
      <c r="H416" s="336"/>
      <c r="I416" s="336"/>
      <c r="J416" s="336"/>
      <c r="K416" s="336"/>
      <c r="L416" s="343"/>
      <c r="M416" s="335"/>
      <c r="N416" s="335"/>
      <c r="O416" s="335"/>
      <c r="P416" s="331"/>
      <c r="Q416" s="332"/>
      <c r="W416" s="60"/>
    </row>
    <row r="417" spans="1:23" ht="14.25">
      <c r="A417" s="335"/>
      <c r="B417" s="335"/>
      <c r="C417" s="335"/>
      <c r="D417" s="336"/>
      <c r="E417" s="336"/>
      <c r="F417" s="336"/>
      <c r="G417" s="336"/>
      <c r="H417" s="336"/>
      <c r="I417" s="336"/>
      <c r="J417" s="336"/>
      <c r="K417" s="336"/>
      <c r="L417" s="343"/>
      <c r="M417" s="335"/>
      <c r="N417" s="335"/>
      <c r="O417" s="335"/>
      <c r="P417" s="331"/>
      <c r="Q417" s="332"/>
      <c r="W417" s="60"/>
    </row>
    <row r="418" spans="1:23" ht="14.25">
      <c r="A418" s="335"/>
      <c r="B418" s="335"/>
      <c r="C418" s="335"/>
      <c r="D418" s="336"/>
      <c r="E418" s="336"/>
      <c r="F418" s="336"/>
      <c r="G418" s="336"/>
      <c r="H418" s="336"/>
      <c r="I418" s="336"/>
      <c r="J418" s="336"/>
      <c r="K418" s="336"/>
      <c r="L418" s="343"/>
      <c r="M418" s="335"/>
      <c r="N418" s="335"/>
      <c r="O418" s="335"/>
      <c r="P418" s="331"/>
      <c r="Q418" s="332"/>
      <c r="W418" s="60"/>
    </row>
    <row r="419" spans="1:23" ht="14.25">
      <c r="A419" s="335"/>
      <c r="B419" s="335"/>
      <c r="C419" s="335"/>
      <c r="D419" s="336"/>
      <c r="E419" s="336"/>
      <c r="F419" s="336"/>
      <c r="G419" s="336"/>
      <c r="H419" s="336"/>
      <c r="I419" s="336"/>
      <c r="J419" s="336"/>
      <c r="K419" s="336"/>
      <c r="L419" s="343"/>
      <c r="M419" s="335"/>
      <c r="N419" s="335"/>
      <c r="O419" s="335"/>
      <c r="P419" s="331"/>
      <c r="Q419" s="332"/>
      <c r="W419" s="60"/>
    </row>
    <row r="420" spans="1:23" ht="14.25">
      <c r="A420" s="335"/>
      <c r="B420" s="335"/>
      <c r="C420" s="335"/>
      <c r="D420" s="336"/>
      <c r="E420" s="336"/>
      <c r="F420" s="336"/>
      <c r="G420" s="336"/>
      <c r="H420" s="336"/>
      <c r="I420" s="336"/>
      <c r="J420" s="336"/>
      <c r="K420" s="336"/>
      <c r="L420" s="343"/>
      <c r="M420" s="335"/>
      <c r="N420" s="335"/>
      <c r="O420" s="335"/>
      <c r="P420" s="331"/>
      <c r="Q420" s="332"/>
      <c r="W420" s="60"/>
    </row>
    <row r="421" spans="1:23" ht="14.25">
      <c r="A421" s="335"/>
      <c r="B421" s="335"/>
      <c r="C421" s="335"/>
      <c r="D421" s="336"/>
      <c r="E421" s="336"/>
      <c r="F421" s="336"/>
      <c r="G421" s="336"/>
      <c r="H421" s="336"/>
      <c r="I421" s="336"/>
      <c r="J421" s="336"/>
      <c r="K421" s="336"/>
      <c r="L421" s="343"/>
      <c r="M421" s="335"/>
      <c r="N421" s="335"/>
      <c r="O421" s="335"/>
      <c r="P421" s="331"/>
      <c r="Q421" s="332"/>
      <c r="W421" s="60"/>
    </row>
    <row r="422" spans="1:23" ht="14.25">
      <c r="A422" s="335"/>
      <c r="B422" s="335"/>
      <c r="C422" s="335"/>
      <c r="D422" s="336"/>
      <c r="E422" s="336"/>
      <c r="F422" s="336"/>
      <c r="G422" s="336"/>
      <c r="H422" s="336"/>
      <c r="I422" s="336"/>
      <c r="J422" s="336"/>
      <c r="K422" s="336"/>
      <c r="L422" s="343"/>
      <c r="M422" s="335"/>
      <c r="N422" s="335"/>
      <c r="O422" s="335"/>
      <c r="P422" s="331"/>
      <c r="Q422" s="332"/>
      <c r="W422" s="60"/>
    </row>
    <row r="423" spans="1:23" ht="14.25">
      <c r="A423" s="335"/>
      <c r="B423" s="335"/>
      <c r="C423" s="335"/>
      <c r="D423" s="336"/>
      <c r="E423" s="336"/>
      <c r="F423" s="336"/>
      <c r="G423" s="336"/>
      <c r="H423" s="336"/>
      <c r="I423" s="336"/>
      <c r="J423" s="336"/>
      <c r="K423" s="336"/>
      <c r="L423" s="343"/>
      <c r="M423" s="335"/>
      <c r="N423" s="335"/>
      <c r="O423" s="335"/>
      <c r="P423" s="331"/>
      <c r="Q423" s="332"/>
      <c r="W423" s="60"/>
    </row>
    <row r="424" spans="1:23" ht="14.25">
      <c r="A424" s="335"/>
      <c r="B424" s="335"/>
      <c r="C424" s="335"/>
      <c r="D424" s="336"/>
      <c r="E424" s="336"/>
      <c r="F424" s="336"/>
      <c r="G424" s="336"/>
      <c r="H424" s="336"/>
      <c r="I424" s="336"/>
      <c r="J424" s="336"/>
      <c r="K424" s="336"/>
      <c r="L424" s="343"/>
      <c r="M424" s="335"/>
      <c r="N424" s="335"/>
      <c r="O424" s="335"/>
      <c r="P424" s="331"/>
      <c r="Q424" s="332"/>
      <c r="W424" s="60"/>
    </row>
    <row r="425" spans="1:23" ht="14.25">
      <c r="A425" s="335"/>
      <c r="B425" s="335"/>
      <c r="C425" s="335"/>
      <c r="D425" s="336"/>
      <c r="E425" s="336"/>
      <c r="F425" s="336"/>
      <c r="G425" s="336"/>
      <c r="H425" s="336"/>
      <c r="I425" s="336"/>
      <c r="J425" s="336"/>
      <c r="K425" s="336"/>
      <c r="L425" s="343"/>
      <c r="M425" s="335"/>
      <c r="N425" s="335"/>
      <c r="O425" s="335"/>
      <c r="P425" s="331"/>
      <c r="Q425" s="332"/>
      <c r="W425" s="60"/>
    </row>
    <row r="426" spans="1:23" ht="14.25">
      <c r="A426" s="335"/>
      <c r="B426" s="335"/>
      <c r="C426" s="335"/>
      <c r="D426" s="336"/>
      <c r="E426" s="336"/>
      <c r="F426" s="336"/>
      <c r="G426" s="336"/>
      <c r="H426" s="336"/>
      <c r="I426" s="336"/>
      <c r="J426" s="336"/>
      <c r="K426" s="336"/>
      <c r="L426" s="343"/>
      <c r="M426" s="335"/>
      <c r="N426" s="335"/>
      <c r="O426" s="335"/>
      <c r="P426" s="331"/>
      <c r="Q426" s="332"/>
      <c r="W426" s="60"/>
    </row>
    <row r="427" spans="1:23" ht="14.25">
      <c r="A427" s="335"/>
      <c r="B427" s="335"/>
      <c r="C427" s="335"/>
      <c r="D427" s="336"/>
      <c r="E427" s="336"/>
      <c r="F427" s="336"/>
      <c r="G427" s="336"/>
      <c r="H427" s="336"/>
      <c r="I427" s="336"/>
      <c r="J427" s="336"/>
      <c r="K427" s="336"/>
      <c r="L427" s="343"/>
      <c r="M427" s="335"/>
      <c r="N427" s="335"/>
      <c r="O427" s="335"/>
      <c r="P427" s="331"/>
      <c r="Q427" s="332"/>
      <c r="W427" s="60"/>
    </row>
    <row r="428" spans="1:23" ht="14.25">
      <c r="A428" s="335"/>
      <c r="B428" s="335"/>
      <c r="C428" s="335"/>
      <c r="D428" s="336"/>
      <c r="E428" s="336"/>
      <c r="F428" s="336"/>
      <c r="G428" s="336"/>
      <c r="H428" s="336"/>
      <c r="I428" s="336"/>
      <c r="J428" s="336"/>
      <c r="K428" s="336"/>
      <c r="L428" s="343"/>
      <c r="M428" s="335"/>
      <c r="N428" s="335"/>
      <c r="O428" s="335"/>
      <c r="P428" s="331"/>
      <c r="Q428" s="332"/>
      <c r="W428" s="60"/>
    </row>
    <row r="429" spans="1:23" ht="14.25">
      <c r="A429" s="335"/>
      <c r="B429" s="335"/>
      <c r="C429" s="335"/>
      <c r="D429" s="336"/>
      <c r="E429" s="336"/>
      <c r="F429" s="336"/>
      <c r="G429" s="336"/>
      <c r="H429" s="336"/>
      <c r="I429" s="336"/>
      <c r="J429" s="336"/>
      <c r="K429" s="336"/>
      <c r="L429" s="343"/>
      <c r="M429" s="335"/>
      <c r="N429" s="335"/>
      <c r="O429" s="335"/>
      <c r="P429" s="331"/>
      <c r="Q429" s="332"/>
      <c r="W429" s="60"/>
    </row>
    <row r="430" spans="1:23" ht="14.25">
      <c r="A430" s="335"/>
      <c r="B430" s="335"/>
      <c r="C430" s="335"/>
      <c r="D430" s="336"/>
      <c r="E430" s="336"/>
      <c r="F430" s="336"/>
      <c r="G430" s="336"/>
      <c r="H430" s="336"/>
      <c r="I430" s="336"/>
      <c r="J430" s="336"/>
      <c r="K430" s="336"/>
      <c r="L430" s="343"/>
      <c r="M430" s="335"/>
      <c r="N430" s="335"/>
      <c r="O430" s="335"/>
      <c r="P430" s="331"/>
      <c r="Q430" s="332"/>
      <c r="W430" s="60"/>
    </row>
    <row r="431" spans="1:23" ht="14.25">
      <c r="A431" s="335"/>
      <c r="B431" s="335"/>
      <c r="C431" s="335"/>
      <c r="D431" s="336"/>
      <c r="E431" s="336"/>
      <c r="F431" s="336"/>
      <c r="G431" s="336"/>
      <c r="H431" s="336"/>
      <c r="I431" s="336"/>
      <c r="J431" s="336"/>
      <c r="K431" s="336"/>
      <c r="L431" s="343"/>
      <c r="M431" s="335"/>
      <c r="N431" s="335"/>
      <c r="O431" s="335"/>
      <c r="P431" s="331"/>
      <c r="Q431" s="332"/>
      <c r="W431" s="60"/>
    </row>
    <row r="432" spans="1:23" ht="14.25">
      <c r="A432" s="335"/>
      <c r="B432" s="335"/>
      <c r="C432" s="335"/>
      <c r="D432" s="336"/>
      <c r="E432" s="336"/>
      <c r="F432" s="336"/>
      <c r="G432" s="336"/>
      <c r="H432" s="336"/>
      <c r="I432" s="336"/>
      <c r="J432" s="336"/>
      <c r="K432" s="336"/>
      <c r="L432" s="343"/>
      <c r="M432" s="335"/>
      <c r="N432" s="335"/>
      <c r="O432" s="335"/>
      <c r="P432" s="331"/>
      <c r="Q432" s="332"/>
      <c r="W432" s="60"/>
    </row>
    <row r="433" spans="1:23" ht="14.25">
      <c r="A433" s="335"/>
      <c r="B433" s="335"/>
      <c r="C433" s="335"/>
      <c r="D433" s="336"/>
      <c r="E433" s="336"/>
      <c r="F433" s="336"/>
      <c r="G433" s="336"/>
      <c r="H433" s="336"/>
      <c r="I433" s="336"/>
      <c r="J433" s="336"/>
      <c r="K433" s="336"/>
      <c r="L433" s="343"/>
      <c r="M433" s="335"/>
      <c r="N433" s="335"/>
      <c r="O433" s="335"/>
      <c r="P433" s="331"/>
      <c r="Q433" s="332"/>
      <c r="W433" s="60"/>
    </row>
    <row r="434" spans="1:23" ht="14.25">
      <c r="A434" s="335"/>
      <c r="B434" s="335"/>
      <c r="C434" s="335"/>
      <c r="D434" s="336"/>
      <c r="E434" s="336"/>
      <c r="F434" s="336"/>
      <c r="G434" s="336"/>
      <c r="H434" s="336"/>
      <c r="I434" s="336"/>
      <c r="J434" s="336"/>
      <c r="K434" s="336"/>
      <c r="L434" s="343"/>
      <c r="M434" s="335"/>
      <c r="N434" s="335"/>
      <c r="O434" s="335"/>
      <c r="P434" s="331"/>
      <c r="Q434" s="332"/>
      <c r="W434" s="60"/>
    </row>
    <row r="435" spans="1:23" ht="14.25">
      <c r="A435" s="335"/>
      <c r="B435" s="335"/>
      <c r="C435" s="335"/>
      <c r="D435" s="336"/>
      <c r="E435" s="336"/>
      <c r="F435" s="336"/>
      <c r="G435" s="336"/>
      <c r="H435" s="336"/>
      <c r="I435" s="336"/>
      <c r="J435" s="336"/>
      <c r="K435" s="336"/>
      <c r="L435" s="343"/>
      <c r="M435" s="335"/>
      <c r="N435" s="335"/>
      <c r="O435" s="335"/>
      <c r="P435" s="331"/>
      <c r="Q435" s="332"/>
      <c r="W435" s="60"/>
    </row>
    <row r="436" spans="1:23" ht="14.25">
      <c r="A436" s="335"/>
      <c r="B436" s="335"/>
      <c r="C436" s="335"/>
      <c r="D436" s="336"/>
      <c r="E436" s="336"/>
      <c r="F436" s="336"/>
      <c r="G436" s="336"/>
      <c r="H436" s="336"/>
      <c r="I436" s="336"/>
      <c r="J436" s="336"/>
      <c r="K436" s="336"/>
      <c r="L436" s="343"/>
      <c r="M436" s="335"/>
      <c r="N436" s="335"/>
      <c r="O436" s="335"/>
      <c r="P436" s="331"/>
      <c r="Q436" s="332"/>
      <c r="W436" s="60"/>
    </row>
    <row r="437" spans="1:23" ht="14.25">
      <c r="A437" s="335"/>
      <c r="B437" s="335"/>
      <c r="C437" s="335"/>
      <c r="D437" s="336"/>
      <c r="E437" s="336"/>
      <c r="F437" s="336"/>
      <c r="G437" s="336"/>
      <c r="H437" s="336"/>
      <c r="I437" s="336"/>
      <c r="J437" s="336"/>
      <c r="K437" s="336"/>
      <c r="L437" s="343"/>
      <c r="M437" s="335"/>
      <c r="N437" s="335"/>
      <c r="O437" s="335"/>
      <c r="P437" s="331"/>
      <c r="Q437" s="332"/>
      <c r="W437" s="60"/>
    </row>
    <row r="438" spans="1:23" ht="14.25">
      <c r="A438" s="335"/>
      <c r="B438" s="335"/>
      <c r="C438" s="335"/>
      <c r="D438" s="336"/>
      <c r="E438" s="336"/>
      <c r="F438" s="336"/>
      <c r="G438" s="336"/>
      <c r="H438" s="336"/>
      <c r="I438" s="336"/>
      <c r="J438" s="336"/>
      <c r="K438" s="336"/>
      <c r="L438" s="343"/>
      <c r="M438" s="335"/>
      <c r="N438" s="335"/>
      <c r="O438" s="335"/>
      <c r="P438" s="331"/>
      <c r="Q438" s="332"/>
      <c r="W438" s="60"/>
    </row>
    <row r="439" spans="1:23" ht="14.25">
      <c r="A439" s="335"/>
      <c r="B439" s="335"/>
      <c r="C439" s="335"/>
      <c r="D439" s="336"/>
      <c r="E439" s="336"/>
      <c r="F439" s="336"/>
      <c r="G439" s="336"/>
      <c r="H439" s="336"/>
      <c r="I439" s="336"/>
      <c r="J439" s="336"/>
      <c r="K439" s="336"/>
      <c r="L439" s="343"/>
      <c r="M439" s="335"/>
      <c r="N439" s="335"/>
      <c r="O439" s="335"/>
      <c r="P439" s="331"/>
      <c r="Q439" s="332"/>
      <c r="W439" s="60"/>
    </row>
    <row r="440" spans="1:23" ht="14.25">
      <c r="A440" s="335"/>
      <c r="B440" s="335"/>
      <c r="C440" s="335"/>
      <c r="D440" s="336"/>
      <c r="E440" s="336"/>
      <c r="F440" s="336"/>
      <c r="G440" s="336"/>
      <c r="H440" s="336"/>
      <c r="I440" s="336"/>
      <c r="J440" s="336"/>
      <c r="K440" s="336"/>
      <c r="L440" s="343"/>
      <c r="M440" s="335"/>
      <c r="N440" s="335"/>
      <c r="O440" s="335"/>
      <c r="P440" s="331"/>
      <c r="Q440" s="332"/>
      <c r="W440" s="60"/>
    </row>
    <row r="441" spans="1:23" ht="14.25">
      <c r="A441" s="335"/>
      <c r="B441" s="335"/>
      <c r="C441" s="335"/>
      <c r="D441" s="336"/>
      <c r="E441" s="336"/>
      <c r="F441" s="336"/>
      <c r="G441" s="336"/>
      <c r="H441" s="336"/>
      <c r="I441" s="336"/>
      <c r="J441" s="336"/>
      <c r="K441" s="336"/>
      <c r="L441" s="343"/>
      <c r="M441" s="335"/>
      <c r="N441" s="335"/>
      <c r="O441" s="335"/>
      <c r="P441" s="331"/>
      <c r="Q441" s="332"/>
      <c r="W441" s="60"/>
    </row>
    <row r="442" spans="1:23" ht="14.25">
      <c r="A442" s="335"/>
      <c r="B442" s="335"/>
      <c r="C442" s="335"/>
      <c r="D442" s="336"/>
      <c r="E442" s="336"/>
      <c r="F442" s="336"/>
      <c r="G442" s="336"/>
      <c r="H442" s="336"/>
      <c r="I442" s="336"/>
      <c r="J442" s="336"/>
      <c r="K442" s="336"/>
      <c r="L442" s="343"/>
      <c r="M442" s="335"/>
      <c r="N442" s="335"/>
      <c r="O442" s="335"/>
      <c r="P442" s="331"/>
      <c r="Q442" s="332"/>
      <c r="W442" s="60"/>
    </row>
    <row r="443" spans="1:23" ht="14.25">
      <c r="A443" s="335"/>
      <c r="B443" s="335"/>
      <c r="C443" s="335"/>
      <c r="D443" s="336"/>
      <c r="E443" s="336"/>
      <c r="F443" s="336"/>
      <c r="G443" s="336"/>
      <c r="H443" s="336"/>
      <c r="I443" s="336"/>
      <c r="J443" s="336"/>
      <c r="K443" s="336"/>
      <c r="L443" s="343"/>
      <c r="M443" s="335"/>
      <c r="N443" s="335"/>
      <c r="O443" s="335"/>
      <c r="P443" s="331"/>
      <c r="Q443" s="332"/>
      <c r="W443" s="60"/>
    </row>
    <row r="444" spans="1:23" ht="14.25">
      <c r="A444" s="335"/>
      <c r="B444" s="335"/>
      <c r="C444" s="335"/>
      <c r="D444" s="336"/>
      <c r="E444" s="336"/>
      <c r="F444" s="336"/>
      <c r="G444" s="336"/>
      <c r="H444" s="336"/>
      <c r="I444" s="336"/>
      <c r="J444" s="336"/>
      <c r="K444" s="336"/>
      <c r="L444" s="343"/>
      <c r="M444" s="335"/>
      <c r="N444" s="335"/>
      <c r="O444" s="335"/>
      <c r="P444" s="331"/>
      <c r="Q444" s="332"/>
      <c r="W444" s="60"/>
    </row>
    <row r="445" spans="1:23" ht="14.25">
      <c r="A445" s="335"/>
      <c r="B445" s="335"/>
      <c r="C445" s="335"/>
      <c r="D445" s="336"/>
      <c r="E445" s="336"/>
      <c r="F445" s="336"/>
      <c r="G445" s="336"/>
      <c r="H445" s="336"/>
      <c r="I445" s="336"/>
      <c r="J445" s="336"/>
      <c r="K445" s="336"/>
      <c r="L445" s="343"/>
      <c r="M445" s="335"/>
      <c r="N445" s="335"/>
      <c r="O445" s="335"/>
      <c r="P445" s="331"/>
      <c r="Q445" s="332"/>
      <c r="W445" s="60"/>
    </row>
    <row r="446" spans="1:23" ht="14.25">
      <c r="A446" s="335"/>
      <c r="B446" s="335"/>
      <c r="C446" s="335"/>
      <c r="D446" s="336"/>
      <c r="E446" s="336"/>
      <c r="F446" s="336"/>
      <c r="G446" s="336"/>
      <c r="H446" s="336"/>
      <c r="I446" s="336"/>
      <c r="J446" s="336"/>
      <c r="K446" s="336"/>
      <c r="L446" s="343"/>
      <c r="M446" s="335"/>
      <c r="N446" s="335"/>
      <c r="O446" s="335"/>
      <c r="P446" s="331"/>
      <c r="Q446" s="332"/>
      <c r="W446" s="60"/>
    </row>
    <row r="447" spans="1:23" ht="14.25">
      <c r="A447" s="335"/>
      <c r="B447" s="335"/>
      <c r="C447" s="335"/>
      <c r="D447" s="336"/>
      <c r="E447" s="336"/>
      <c r="F447" s="336"/>
      <c r="G447" s="336"/>
      <c r="H447" s="336"/>
      <c r="I447" s="336"/>
      <c r="J447" s="336"/>
      <c r="K447" s="336"/>
      <c r="L447" s="343"/>
      <c r="M447" s="335"/>
      <c r="N447" s="335"/>
      <c r="O447" s="335"/>
      <c r="P447" s="331"/>
      <c r="Q447" s="332"/>
      <c r="W447" s="60"/>
    </row>
    <row r="448" spans="1:23" ht="14.25">
      <c r="A448" s="335"/>
      <c r="B448" s="335"/>
      <c r="C448" s="335"/>
      <c r="D448" s="336"/>
      <c r="E448" s="336"/>
      <c r="F448" s="336"/>
      <c r="G448" s="336"/>
      <c r="H448" s="336"/>
      <c r="I448" s="336"/>
      <c r="J448" s="336"/>
      <c r="K448" s="336"/>
      <c r="L448" s="343"/>
      <c r="M448" s="335"/>
      <c r="N448" s="335"/>
      <c r="O448" s="335"/>
      <c r="P448" s="331"/>
      <c r="Q448" s="332"/>
      <c r="W448" s="60"/>
    </row>
    <row r="449" spans="1:23" ht="14.25">
      <c r="A449" s="335"/>
      <c r="B449" s="335"/>
      <c r="C449" s="335"/>
      <c r="D449" s="336"/>
      <c r="E449" s="336"/>
      <c r="F449" s="336"/>
      <c r="G449" s="336"/>
      <c r="H449" s="336"/>
      <c r="I449" s="336"/>
      <c r="J449" s="336"/>
      <c r="K449" s="336"/>
      <c r="L449" s="343"/>
      <c r="M449" s="335"/>
      <c r="N449" s="335"/>
      <c r="O449" s="335"/>
      <c r="P449" s="331"/>
      <c r="Q449" s="332"/>
      <c r="W449" s="60"/>
    </row>
    <row r="450" spans="1:23" ht="14.25">
      <c r="A450" s="335"/>
      <c r="B450" s="335"/>
      <c r="C450" s="335"/>
      <c r="D450" s="336"/>
      <c r="E450" s="336"/>
      <c r="F450" s="336"/>
      <c r="G450" s="336"/>
      <c r="H450" s="336"/>
      <c r="I450" s="336"/>
      <c r="J450" s="336"/>
      <c r="K450" s="336"/>
      <c r="L450" s="343"/>
      <c r="M450" s="335"/>
      <c r="N450" s="335"/>
      <c r="O450" s="335"/>
      <c r="P450" s="331"/>
      <c r="Q450" s="332"/>
      <c r="W450" s="60"/>
    </row>
    <row r="451" spans="1:23" ht="14.25">
      <c r="A451" s="335"/>
      <c r="B451" s="335"/>
      <c r="C451" s="335"/>
      <c r="D451" s="336"/>
      <c r="E451" s="336"/>
      <c r="F451" s="336"/>
      <c r="G451" s="336"/>
      <c r="H451" s="336"/>
      <c r="I451" s="336"/>
      <c r="J451" s="336"/>
      <c r="K451" s="336"/>
      <c r="L451" s="343"/>
      <c r="M451" s="335"/>
      <c r="N451" s="335"/>
      <c r="O451" s="335"/>
      <c r="P451" s="331"/>
      <c r="Q451" s="332"/>
      <c r="W451" s="60"/>
    </row>
    <row r="452" spans="1:23" ht="14.25">
      <c r="A452" s="335"/>
      <c r="B452" s="335"/>
      <c r="C452" s="335"/>
      <c r="D452" s="336"/>
      <c r="E452" s="336"/>
      <c r="F452" s="336"/>
      <c r="G452" s="336"/>
      <c r="H452" s="336"/>
      <c r="I452" s="336"/>
      <c r="J452" s="336"/>
      <c r="K452" s="336"/>
      <c r="L452" s="343"/>
      <c r="M452" s="335"/>
      <c r="N452" s="335"/>
      <c r="O452" s="335"/>
      <c r="P452" s="331"/>
      <c r="Q452" s="332"/>
      <c r="W452" s="60"/>
    </row>
    <row r="453" spans="1:23" ht="14.25">
      <c r="A453" s="335"/>
      <c r="B453" s="335"/>
      <c r="C453" s="335"/>
      <c r="D453" s="336"/>
      <c r="E453" s="336"/>
      <c r="F453" s="336"/>
      <c r="G453" s="336"/>
      <c r="H453" s="336"/>
      <c r="I453" s="336"/>
      <c r="J453" s="336"/>
      <c r="K453" s="336"/>
      <c r="L453" s="343"/>
      <c r="M453" s="335"/>
      <c r="N453" s="335"/>
      <c r="O453" s="335"/>
      <c r="P453" s="331"/>
      <c r="Q453" s="332"/>
      <c r="W453" s="60"/>
    </row>
    <row r="454" spans="1:23" ht="14.25">
      <c r="A454" s="335"/>
      <c r="B454" s="335"/>
      <c r="C454" s="335"/>
      <c r="D454" s="336"/>
      <c r="E454" s="336"/>
      <c r="F454" s="336"/>
      <c r="G454" s="336"/>
      <c r="H454" s="336"/>
      <c r="I454" s="336"/>
      <c r="J454" s="336"/>
      <c r="K454" s="336"/>
      <c r="L454" s="343"/>
      <c r="M454" s="335"/>
      <c r="N454" s="335"/>
      <c r="O454" s="335"/>
      <c r="P454" s="331"/>
      <c r="Q454" s="332"/>
      <c r="W454" s="60"/>
    </row>
    <row r="455" spans="1:23" ht="14.25">
      <c r="A455" s="335"/>
      <c r="B455" s="335"/>
      <c r="C455" s="335"/>
      <c r="D455" s="336"/>
      <c r="E455" s="336"/>
      <c r="F455" s="336"/>
      <c r="G455" s="336"/>
      <c r="H455" s="336"/>
      <c r="I455" s="336"/>
      <c r="J455" s="336"/>
      <c r="K455" s="336"/>
      <c r="L455" s="343"/>
      <c r="M455" s="335"/>
      <c r="N455" s="335"/>
      <c r="O455" s="335"/>
      <c r="P455" s="331"/>
      <c r="Q455" s="332"/>
      <c r="W455" s="60"/>
    </row>
    <row r="456" spans="1:23" ht="14.25">
      <c r="A456" s="335"/>
      <c r="B456" s="335"/>
      <c r="C456" s="335"/>
      <c r="D456" s="336"/>
      <c r="E456" s="336"/>
      <c r="F456" s="336"/>
      <c r="G456" s="336"/>
      <c r="H456" s="336"/>
      <c r="I456" s="336"/>
      <c r="J456" s="336"/>
      <c r="K456" s="336"/>
      <c r="L456" s="343"/>
      <c r="M456" s="335"/>
      <c r="N456" s="335"/>
      <c r="O456" s="335"/>
      <c r="P456" s="331"/>
      <c r="Q456" s="332"/>
      <c r="W456" s="60"/>
    </row>
    <row r="457" spans="1:23" ht="14.25">
      <c r="A457" s="335"/>
      <c r="B457" s="335"/>
      <c r="C457" s="335"/>
      <c r="D457" s="336"/>
      <c r="E457" s="336"/>
      <c r="F457" s="336"/>
      <c r="G457" s="336"/>
      <c r="H457" s="336"/>
      <c r="I457" s="336"/>
      <c r="J457" s="336"/>
      <c r="K457" s="336"/>
      <c r="L457" s="343"/>
      <c r="M457" s="335"/>
      <c r="N457" s="335"/>
      <c r="O457" s="335"/>
      <c r="P457" s="331"/>
      <c r="Q457" s="332"/>
      <c r="W457" s="60"/>
    </row>
    <row r="458" spans="1:23" ht="14.25">
      <c r="A458" s="335"/>
      <c r="B458" s="335"/>
      <c r="C458" s="335"/>
      <c r="D458" s="336"/>
      <c r="E458" s="336"/>
      <c r="F458" s="336"/>
      <c r="G458" s="336"/>
      <c r="H458" s="336"/>
      <c r="I458" s="336"/>
      <c r="J458" s="336"/>
      <c r="K458" s="336"/>
      <c r="L458" s="343"/>
      <c r="M458" s="335"/>
      <c r="N458" s="335"/>
      <c r="O458" s="335"/>
      <c r="P458" s="331"/>
      <c r="Q458" s="332"/>
      <c r="W458" s="60"/>
    </row>
    <row r="459" spans="1:23" ht="14.25">
      <c r="A459" s="335"/>
      <c r="B459" s="335"/>
      <c r="C459" s="335"/>
      <c r="D459" s="336"/>
      <c r="E459" s="336"/>
      <c r="F459" s="336"/>
      <c r="G459" s="336"/>
      <c r="H459" s="336"/>
      <c r="I459" s="336"/>
      <c r="J459" s="336"/>
      <c r="K459" s="336"/>
      <c r="L459" s="343"/>
      <c r="M459" s="335"/>
      <c r="N459" s="335"/>
      <c r="O459" s="335"/>
      <c r="P459" s="331"/>
      <c r="Q459" s="332"/>
      <c r="W459" s="60"/>
    </row>
    <row r="460" spans="1:23" ht="14.25">
      <c r="A460" s="335"/>
      <c r="B460" s="335"/>
      <c r="C460" s="335"/>
      <c r="D460" s="336"/>
      <c r="E460" s="336"/>
      <c r="F460" s="336"/>
      <c r="G460" s="336"/>
      <c r="H460" s="336"/>
      <c r="I460" s="336"/>
      <c r="J460" s="336"/>
      <c r="K460" s="336"/>
      <c r="L460" s="343"/>
      <c r="M460" s="335"/>
      <c r="N460" s="335"/>
      <c r="O460" s="335"/>
      <c r="P460" s="331"/>
      <c r="Q460" s="332"/>
      <c r="W460" s="60"/>
    </row>
    <row r="461" spans="1:23" ht="14.25">
      <c r="A461" s="335"/>
      <c r="B461" s="335"/>
      <c r="C461" s="335"/>
      <c r="D461" s="336"/>
      <c r="E461" s="336"/>
      <c r="F461" s="336"/>
      <c r="G461" s="336"/>
      <c r="H461" s="336"/>
      <c r="I461" s="336"/>
      <c r="J461" s="336"/>
      <c r="K461" s="336"/>
      <c r="L461" s="343"/>
      <c r="M461" s="335"/>
      <c r="N461" s="335"/>
      <c r="O461" s="335"/>
      <c r="P461" s="331"/>
      <c r="Q461" s="332"/>
      <c r="W461" s="60"/>
    </row>
    <row r="462" spans="1:23" ht="14.25">
      <c r="A462" s="335"/>
      <c r="B462" s="335"/>
      <c r="C462" s="335"/>
      <c r="D462" s="336"/>
      <c r="E462" s="336"/>
      <c r="F462" s="336"/>
      <c r="G462" s="336"/>
      <c r="H462" s="336"/>
      <c r="I462" s="336"/>
      <c r="J462" s="336"/>
      <c r="K462" s="336"/>
      <c r="L462" s="343"/>
      <c r="M462" s="335"/>
      <c r="N462" s="335"/>
      <c r="O462" s="335"/>
      <c r="P462" s="331"/>
      <c r="Q462" s="332"/>
      <c r="W462" s="60"/>
    </row>
    <row r="463" spans="1:23" ht="14.25">
      <c r="A463" s="335"/>
      <c r="B463" s="335"/>
      <c r="C463" s="335"/>
      <c r="D463" s="336"/>
      <c r="E463" s="336"/>
      <c r="F463" s="336"/>
      <c r="G463" s="336"/>
      <c r="H463" s="336"/>
      <c r="I463" s="336"/>
      <c r="J463" s="336"/>
      <c r="K463" s="336"/>
      <c r="L463" s="343"/>
      <c r="M463" s="335"/>
      <c r="N463" s="335"/>
      <c r="O463" s="335"/>
      <c r="P463" s="331"/>
      <c r="Q463" s="332"/>
      <c r="W463" s="60"/>
    </row>
    <row r="464" spans="1:23" ht="14.25">
      <c r="A464" s="335"/>
      <c r="B464" s="335"/>
      <c r="C464" s="335"/>
      <c r="D464" s="336"/>
      <c r="E464" s="336"/>
      <c r="F464" s="336"/>
      <c r="G464" s="336"/>
      <c r="H464" s="336"/>
      <c r="I464" s="336"/>
      <c r="J464" s="336"/>
      <c r="K464" s="336"/>
      <c r="L464" s="343"/>
      <c r="M464" s="335"/>
      <c r="N464" s="335"/>
      <c r="O464" s="335"/>
      <c r="P464" s="331"/>
      <c r="Q464" s="332"/>
      <c r="W464" s="60"/>
    </row>
    <row r="465" spans="1:23" ht="14.25">
      <c r="A465" s="335"/>
      <c r="B465" s="335"/>
      <c r="C465" s="335"/>
      <c r="D465" s="336"/>
      <c r="E465" s="336"/>
      <c r="F465" s="336"/>
      <c r="G465" s="336"/>
      <c r="H465" s="336"/>
      <c r="I465" s="336"/>
      <c r="J465" s="336"/>
      <c r="K465" s="336"/>
      <c r="L465" s="343"/>
      <c r="M465" s="335"/>
      <c r="N465" s="335"/>
      <c r="O465" s="335"/>
      <c r="P465" s="331"/>
      <c r="Q465" s="332"/>
      <c r="W465" s="60"/>
    </row>
    <row r="466" spans="1:23" ht="14.25">
      <c r="A466" s="335"/>
      <c r="B466" s="335"/>
      <c r="C466" s="335"/>
      <c r="D466" s="336"/>
      <c r="E466" s="336"/>
      <c r="F466" s="336"/>
      <c r="G466" s="336"/>
      <c r="H466" s="336"/>
      <c r="I466" s="336"/>
      <c r="J466" s="336"/>
      <c r="K466" s="336"/>
      <c r="L466" s="343"/>
      <c r="M466" s="335"/>
      <c r="N466" s="335"/>
      <c r="O466" s="335"/>
      <c r="P466" s="331"/>
      <c r="Q466" s="332"/>
      <c r="W466" s="60"/>
    </row>
    <row r="467" spans="1:23" ht="14.25">
      <c r="A467" s="335"/>
      <c r="B467" s="335"/>
      <c r="C467" s="335"/>
      <c r="D467" s="336"/>
      <c r="E467" s="336"/>
      <c r="F467" s="336"/>
      <c r="G467" s="336"/>
      <c r="H467" s="336"/>
      <c r="I467" s="336"/>
      <c r="J467" s="336"/>
      <c r="K467" s="336"/>
      <c r="L467" s="343"/>
      <c r="M467" s="335"/>
      <c r="N467" s="335"/>
      <c r="O467" s="335"/>
      <c r="P467" s="331"/>
      <c r="Q467" s="332"/>
      <c r="W467" s="60"/>
    </row>
    <row r="468" spans="1:23" ht="14.25">
      <c r="A468" s="335"/>
      <c r="B468" s="335"/>
      <c r="C468" s="335"/>
      <c r="D468" s="336"/>
      <c r="E468" s="336"/>
      <c r="F468" s="336"/>
      <c r="G468" s="336"/>
      <c r="H468" s="336"/>
      <c r="I468" s="336"/>
      <c r="J468" s="336"/>
      <c r="K468" s="336"/>
      <c r="L468" s="343"/>
      <c r="M468" s="335"/>
      <c r="N468" s="335"/>
      <c r="O468" s="335"/>
      <c r="P468" s="331"/>
      <c r="Q468" s="332"/>
      <c r="W468" s="60"/>
    </row>
    <row r="469" spans="1:23" ht="14.25">
      <c r="A469" s="335"/>
      <c r="B469" s="335"/>
      <c r="C469" s="335"/>
      <c r="D469" s="336"/>
      <c r="E469" s="336"/>
      <c r="F469" s="336"/>
      <c r="G469" s="336"/>
      <c r="H469" s="336"/>
      <c r="I469" s="336"/>
      <c r="J469" s="336"/>
      <c r="K469" s="336"/>
      <c r="L469" s="343"/>
      <c r="M469" s="335"/>
      <c r="N469" s="335"/>
      <c r="O469" s="335"/>
      <c r="P469" s="331"/>
      <c r="Q469" s="332"/>
      <c r="W469" s="60"/>
    </row>
    <row r="470" spans="1:23" ht="14.25">
      <c r="A470" s="335"/>
      <c r="B470" s="335"/>
      <c r="C470" s="335"/>
      <c r="D470" s="336"/>
      <c r="E470" s="336"/>
      <c r="F470" s="336"/>
      <c r="G470" s="336"/>
      <c r="H470" s="336"/>
      <c r="I470" s="336"/>
      <c r="J470" s="336"/>
      <c r="K470" s="336"/>
      <c r="L470" s="343"/>
      <c r="M470" s="335"/>
      <c r="N470" s="335"/>
      <c r="O470" s="335"/>
      <c r="P470" s="331"/>
      <c r="Q470" s="332"/>
      <c r="W470" s="60"/>
    </row>
    <row r="471" spans="1:23" ht="14.25">
      <c r="A471" s="335"/>
      <c r="B471" s="335"/>
      <c r="C471" s="335"/>
      <c r="D471" s="336"/>
      <c r="E471" s="336"/>
      <c r="F471" s="336"/>
      <c r="G471" s="336"/>
      <c r="H471" s="336"/>
      <c r="I471" s="336"/>
      <c r="J471" s="336"/>
      <c r="K471" s="336"/>
      <c r="L471" s="343"/>
      <c r="M471" s="335"/>
      <c r="N471" s="335"/>
      <c r="O471" s="335"/>
      <c r="P471" s="331"/>
      <c r="Q471" s="332"/>
      <c r="W471" s="60"/>
    </row>
    <row r="472" spans="1:23" ht="14.25">
      <c r="A472" s="335"/>
      <c r="B472" s="335"/>
      <c r="C472" s="335"/>
      <c r="D472" s="336"/>
      <c r="E472" s="336"/>
      <c r="F472" s="336"/>
      <c r="G472" s="336"/>
      <c r="H472" s="336"/>
      <c r="I472" s="336"/>
      <c r="J472" s="336"/>
      <c r="K472" s="336"/>
      <c r="L472" s="343"/>
      <c r="M472" s="335"/>
      <c r="N472" s="335"/>
      <c r="O472" s="335"/>
      <c r="P472" s="331"/>
      <c r="Q472" s="332"/>
      <c r="W472" s="60"/>
    </row>
    <row r="473" spans="1:23" ht="14.25">
      <c r="A473" s="335"/>
      <c r="B473" s="335"/>
      <c r="C473" s="335"/>
      <c r="D473" s="336"/>
      <c r="E473" s="336"/>
      <c r="F473" s="336"/>
      <c r="G473" s="336"/>
      <c r="H473" s="336"/>
      <c r="I473" s="336"/>
      <c r="J473" s="336"/>
      <c r="K473" s="336"/>
      <c r="L473" s="343"/>
      <c r="M473" s="335"/>
      <c r="N473" s="335"/>
      <c r="O473" s="335"/>
      <c r="P473" s="331"/>
      <c r="Q473" s="332"/>
      <c r="W473" s="60"/>
    </row>
    <row r="474" spans="1:23" ht="14.25">
      <c r="A474" s="335"/>
      <c r="B474" s="335"/>
      <c r="C474" s="335"/>
      <c r="D474" s="336"/>
      <c r="E474" s="336"/>
      <c r="F474" s="336"/>
      <c r="G474" s="336"/>
      <c r="H474" s="336"/>
      <c r="I474" s="336"/>
      <c r="J474" s="336"/>
      <c r="K474" s="336"/>
      <c r="L474" s="343"/>
      <c r="M474" s="335"/>
      <c r="N474" s="335"/>
      <c r="O474" s="335"/>
      <c r="P474" s="331"/>
      <c r="Q474" s="332"/>
      <c r="W474" s="60"/>
    </row>
    <row r="475" spans="1:23" ht="14.25">
      <c r="A475" s="335"/>
      <c r="B475" s="335"/>
      <c r="C475" s="335"/>
      <c r="D475" s="336"/>
      <c r="E475" s="336"/>
      <c r="F475" s="336"/>
      <c r="G475" s="336"/>
      <c r="H475" s="336"/>
      <c r="I475" s="336"/>
      <c r="J475" s="336"/>
      <c r="K475" s="336"/>
      <c r="L475" s="343"/>
      <c r="M475" s="335"/>
      <c r="N475" s="335"/>
      <c r="O475" s="335"/>
      <c r="P475" s="331"/>
      <c r="Q475" s="332"/>
      <c r="W475" s="60"/>
    </row>
    <row r="476" spans="1:23" ht="14.25">
      <c r="A476" s="335"/>
      <c r="B476" s="335"/>
      <c r="C476" s="335"/>
      <c r="D476" s="336"/>
      <c r="E476" s="336"/>
      <c r="F476" s="336"/>
      <c r="G476" s="336"/>
      <c r="H476" s="336"/>
      <c r="I476" s="336"/>
      <c r="J476" s="336"/>
      <c r="K476" s="336"/>
      <c r="L476" s="343"/>
      <c r="M476" s="335"/>
      <c r="N476" s="335"/>
      <c r="O476" s="335"/>
      <c r="P476" s="331"/>
      <c r="Q476" s="332"/>
      <c r="W476" s="60"/>
    </row>
    <row r="477" spans="1:23" ht="14.25">
      <c r="A477" s="335"/>
      <c r="B477" s="335"/>
      <c r="C477" s="335"/>
      <c r="D477" s="336"/>
      <c r="E477" s="336"/>
      <c r="F477" s="336"/>
      <c r="G477" s="336"/>
      <c r="H477" s="336"/>
      <c r="I477" s="336"/>
      <c r="J477" s="336"/>
      <c r="K477" s="336"/>
      <c r="L477" s="343"/>
      <c r="M477" s="335"/>
      <c r="N477" s="335"/>
      <c r="O477" s="335"/>
      <c r="P477" s="331"/>
      <c r="Q477" s="332"/>
      <c r="W477" s="60"/>
    </row>
    <row r="478" spans="1:23" ht="14.25">
      <c r="A478" s="335"/>
      <c r="B478" s="335"/>
      <c r="C478" s="335"/>
      <c r="D478" s="336"/>
      <c r="E478" s="336"/>
      <c r="F478" s="336"/>
      <c r="G478" s="336"/>
      <c r="H478" s="336"/>
      <c r="I478" s="336"/>
      <c r="J478" s="336"/>
      <c r="K478" s="336"/>
      <c r="L478" s="343"/>
      <c r="M478" s="335"/>
      <c r="N478" s="335"/>
      <c r="O478" s="335"/>
      <c r="P478" s="331"/>
      <c r="Q478" s="332"/>
      <c r="W478" s="60"/>
    </row>
    <row r="479" spans="1:23" ht="14.25">
      <c r="A479" s="335"/>
      <c r="B479" s="335"/>
      <c r="C479" s="335"/>
      <c r="D479" s="336"/>
      <c r="E479" s="336"/>
      <c r="F479" s="336"/>
      <c r="G479" s="336"/>
      <c r="H479" s="336"/>
      <c r="I479" s="336"/>
      <c r="J479" s="336"/>
      <c r="K479" s="336"/>
      <c r="L479" s="343"/>
      <c r="M479" s="335"/>
      <c r="N479" s="335"/>
      <c r="O479" s="335"/>
      <c r="P479" s="331"/>
      <c r="Q479" s="332"/>
      <c r="W479" s="60"/>
    </row>
    <row r="480" spans="1:23" ht="14.25">
      <c r="A480" s="335"/>
      <c r="B480" s="335"/>
      <c r="C480" s="335"/>
      <c r="D480" s="336"/>
      <c r="E480" s="336"/>
      <c r="F480" s="336"/>
      <c r="G480" s="336"/>
      <c r="H480" s="336"/>
      <c r="I480" s="336"/>
      <c r="J480" s="336"/>
      <c r="K480" s="336"/>
      <c r="L480" s="343"/>
      <c r="M480" s="335"/>
      <c r="N480" s="335"/>
      <c r="O480" s="335"/>
      <c r="P480" s="331"/>
      <c r="Q480" s="332"/>
      <c r="W480" s="60"/>
    </row>
    <row r="481" spans="1:23" ht="14.25">
      <c r="A481" s="335"/>
      <c r="B481" s="335"/>
      <c r="C481" s="335"/>
      <c r="D481" s="336"/>
      <c r="E481" s="336"/>
      <c r="F481" s="336"/>
      <c r="G481" s="336"/>
      <c r="H481" s="336"/>
      <c r="I481" s="336"/>
      <c r="J481" s="336"/>
      <c r="K481" s="336"/>
      <c r="L481" s="343"/>
      <c r="M481" s="335"/>
      <c r="N481" s="335"/>
      <c r="O481" s="335"/>
      <c r="P481" s="331"/>
      <c r="Q481" s="332"/>
      <c r="W481" s="60"/>
    </row>
    <row r="482" spans="1:23" ht="14.25">
      <c r="A482" s="335"/>
      <c r="B482" s="335"/>
      <c r="C482" s="335"/>
      <c r="D482" s="336"/>
      <c r="E482" s="336"/>
      <c r="F482" s="336"/>
      <c r="G482" s="336"/>
      <c r="H482" s="336"/>
      <c r="I482" s="336"/>
      <c r="J482" s="336"/>
      <c r="K482" s="336"/>
      <c r="L482" s="343"/>
      <c r="M482" s="335"/>
      <c r="N482" s="335"/>
      <c r="O482" s="335"/>
      <c r="P482" s="331"/>
      <c r="Q482" s="332"/>
      <c r="W482" s="60"/>
    </row>
    <row r="483" spans="1:23" ht="14.25">
      <c r="A483" s="335"/>
      <c r="B483" s="335"/>
      <c r="C483" s="335"/>
      <c r="D483" s="336"/>
      <c r="E483" s="336"/>
      <c r="F483" s="336"/>
      <c r="G483" s="336"/>
      <c r="H483" s="336"/>
      <c r="I483" s="336"/>
      <c r="J483" s="336"/>
      <c r="K483" s="336"/>
      <c r="L483" s="343"/>
      <c r="M483" s="335"/>
      <c r="N483" s="335"/>
      <c r="O483" s="335"/>
      <c r="P483" s="331"/>
      <c r="Q483" s="332"/>
      <c r="W483" s="60"/>
    </row>
    <row r="484" spans="1:23" ht="14.25">
      <c r="A484" s="335"/>
      <c r="B484" s="335"/>
      <c r="C484" s="335"/>
      <c r="D484" s="336"/>
      <c r="E484" s="336"/>
      <c r="F484" s="336"/>
      <c r="G484" s="336"/>
      <c r="H484" s="336"/>
      <c r="I484" s="336"/>
      <c r="J484" s="336"/>
      <c r="K484" s="336"/>
      <c r="L484" s="343"/>
      <c r="M484" s="335"/>
      <c r="N484" s="335"/>
      <c r="O484" s="335"/>
      <c r="P484" s="331"/>
      <c r="Q484" s="332"/>
      <c r="W484" s="60"/>
    </row>
    <row r="485" spans="1:23" ht="14.25">
      <c r="A485" s="335"/>
      <c r="B485" s="335"/>
      <c r="C485" s="335"/>
      <c r="D485" s="336"/>
      <c r="E485" s="336"/>
      <c r="F485" s="336"/>
      <c r="G485" s="336"/>
      <c r="H485" s="336"/>
      <c r="I485" s="336"/>
      <c r="J485" s="336"/>
      <c r="K485" s="336"/>
      <c r="L485" s="343"/>
      <c r="M485" s="335"/>
      <c r="N485" s="335"/>
      <c r="O485" s="335"/>
      <c r="P485" s="331"/>
      <c r="Q485" s="332"/>
      <c r="W485" s="60"/>
    </row>
    <row r="486" spans="1:23" ht="14.25">
      <c r="A486" s="335"/>
      <c r="B486" s="335"/>
      <c r="C486" s="335"/>
      <c r="D486" s="336"/>
      <c r="E486" s="336"/>
      <c r="F486" s="336"/>
      <c r="G486" s="336"/>
      <c r="H486" s="336"/>
      <c r="I486" s="336"/>
      <c r="J486" s="336"/>
      <c r="K486" s="336"/>
      <c r="L486" s="343"/>
      <c r="M486" s="335"/>
      <c r="N486" s="335"/>
      <c r="O486" s="335"/>
      <c r="P486" s="331"/>
      <c r="Q486" s="332"/>
      <c r="W486" s="60"/>
    </row>
    <row r="487" spans="1:23" ht="14.25">
      <c r="A487" s="335"/>
      <c r="B487" s="335"/>
      <c r="C487" s="335"/>
      <c r="D487" s="336"/>
      <c r="E487" s="336"/>
      <c r="F487" s="336"/>
      <c r="G487" s="336"/>
      <c r="H487" s="336"/>
      <c r="I487" s="336"/>
      <c r="J487" s="336"/>
      <c r="K487" s="336"/>
      <c r="L487" s="343"/>
      <c r="M487" s="335"/>
      <c r="N487" s="335"/>
      <c r="O487" s="335"/>
      <c r="P487" s="331"/>
      <c r="Q487" s="332"/>
      <c r="W487" s="60"/>
    </row>
    <row r="488" spans="1:23" ht="14.25">
      <c r="A488" s="335"/>
      <c r="B488" s="335"/>
      <c r="C488" s="335"/>
      <c r="D488" s="336"/>
      <c r="E488" s="336"/>
      <c r="F488" s="336"/>
      <c r="G488" s="336"/>
      <c r="H488" s="336"/>
      <c r="I488" s="336"/>
      <c r="J488" s="336"/>
      <c r="K488" s="336"/>
      <c r="L488" s="343"/>
      <c r="M488" s="335"/>
      <c r="N488" s="335"/>
      <c r="O488" s="335"/>
      <c r="P488" s="331"/>
      <c r="Q488" s="332"/>
      <c r="W488" s="60"/>
    </row>
    <row r="489" spans="1:23" ht="14.25">
      <c r="A489" s="335"/>
      <c r="B489" s="335"/>
      <c r="C489" s="335"/>
      <c r="D489" s="336"/>
      <c r="E489" s="336"/>
      <c r="F489" s="336"/>
      <c r="G489" s="336"/>
      <c r="H489" s="336"/>
      <c r="I489" s="336"/>
      <c r="J489" s="336"/>
      <c r="K489" s="336"/>
      <c r="L489" s="343"/>
      <c r="M489" s="335"/>
      <c r="N489" s="335"/>
      <c r="O489" s="335"/>
      <c r="P489" s="331"/>
      <c r="Q489" s="332"/>
      <c r="W489" s="60"/>
    </row>
    <row r="490" spans="1:23" ht="14.25">
      <c r="A490" s="335"/>
      <c r="B490" s="335"/>
      <c r="C490" s="335"/>
      <c r="D490" s="336"/>
      <c r="E490" s="336"/>
      <c r="F490" s="336"/>
      <c r="G490" s="336"/>
      <c r="H490" s="336"/>
      <c r="I490" s="336"/>
      <c r="J490" s="336"/>
      <c r="K490" s="336"/>
      <c r="L490" s="343"/>
      <c r="M490" s="335"/>
      <c r="N490" s="335"/>
      <c r="O490" s="335"/>
      <c r="P490" s="331"/>
      <c r="Q490" s="332"/>
      <c r="W490" s="60"/>
    </row>
    <row r="491" spans="1:23" ht="14.25">
      <c r="A491" s="335"/>
      <c r="B491" s="335"/>
      <c r="C491" s="335"/>
      <c r="D491" s="336"/>
      <c r="E491" s="336"/>
      <c r="F491" s="336"/>
      <c r="G491" s="336"/>
      <c r="H491" s="336"/>
      <c r="I491" s="336"/>
      <c r="J491" s="336"/>
      <c r="K491" s="336"/>
      <c r="L491" s="343"/>
      <c r="M491" s="335"/>
      <c r="N491" s="335"/>
      <c r="O491" s="335"/>
      <c r="P491" s="331"/>
      <c r="Q491" s="332"/>
      <c r="W491" s="60"/>
    </row>
    <row r="492" spans="1:23" ht="14.25">
      <c r="A492" s="335"/>
      <c r="B492" s="335"/>
      <c r="C492" s="335"/>
      <c r="D492" s="336"/>
      <c r="E492" s="336"/>
      <c r="F492" s="336"/>
      <c r="G492" s="336"/>
      <c r="H492" s="336"/>
      <c r="I492" s="336"/>
      <c r="J492" s="336"/>
      <c r="K492" s="336"/>
      <c r="L492" s="343"/>
      <c r="M492" s="335"/>
      <c r="N492" s="335"/>
      <c r="O492" s="335"/>
      <c r="P492" s="331"/>
      <c r="Q492" s="332"/>
      <c r="W492" s="60"/>
    </row>
    <row r="493" spans="1:23" ht="14.25">
      <c r="A493" s="335"/>
      <c r="B493" s="335"/>
      <c r="C493" s="335"/>
      <c r="D493" s="336"/>
      <c r="E493" s="336"/>
      <c r="F493" s="336"/>
      <c r="G493" s="336"/>
      <c r="H493" s="336"/>
      <c r="I493" s="336"/>
      <c r="J493" s="336"/>
      <c r="K493" s="336"/>
      <c r="L493" s="343"/>
      <c r="M493" s="335"/>
      <c r="N493" s="335"/>
      <c r="O493" s="335"/>
      <c r="P493" s="331"/>
      <c r="Q493" s="332"/>
      <c r="W493" s="60"/>
    </row>
    <row r="494" spans="1:23" ht="14.25">
      <c r="A494" s="335"/>
      <c r="B494" s="335"/>
      <c r="C494" s="335"/>
      <c r="D494" s="336"/>
      <c r="E494" s="336"/>
      <c r="F494" s="336"/>
      <c r="G494" s="336"/>
      <c r="H494" s="336"/>
      <c r="I494" s="336"/>
      <c r="J494" s="336"/>
      <c r="K494" s="336"/>
      <c r="L494" s="343"/>
      <c r="M494" s="335"/>
      <c r="N494" s="335"/>
      <c r="O494" s="335"/>
      <c r="P494" s="331"/>
      <c r="Q494" s="332"/>
      <c r="W494" s="60"/>
    </row>
    <row r="495" spans="1:23" ht="14.25">
      <c r="A495" s="335"/>
      <c r="B495" s="335"/>
      <c r="C495" s="335"/>
      <c r="D495" s="336"/>
      <c r="E495" s="336"/>
      <c r="F495" s="336"/>
      <c r="G495" s="336"/>
      <c r="H495" s="336"/>
      <c r="I495" s="336"/>
      <c r="J495" s="336"/>
      <c r="K495" s="336"/>
      <c r="L495" s="343"/>
      <c r="M495" s="335"/>
      <c r="N495" s="335"/>
      <c r="O495" s="335"/>
      <c r="P495" s="331"/>
      <c r="Q495" s="332"/>
      <c r="W495" s="60"/>
    </row>
    <row r="496" spans="1:23" ht="14.25">
      <c r="A496" s="335"/>
      <c r="B496" s="335"/>
      <c r="C496" s="335"/>
      <c r="D496" s="336"/>
      <c r="E496" s="336"/>
      <c r="F496" s="336"/>
      <c r="G496" s="336"/>
      <c r="H496" s="336"/>
      <c r="I496" s="336"/>
      <c r="J496" s="336"/>
      <c r="K496" s="336"/>
      <c r="L496" s="343"/>
      <c r="M496" s="335"/>
      <c r="N496" s="335"/>
      <c r="O496" s="335"/>
      <c r="P496" s="331"/>
      <c r="Q496" s="332"/>
      <c r="W496" s="60"/>
    </row>
    <row r="497" spans="1:23" ht="14.25">
      <c r="A497" s="335"/>
      <c r="B497" s="335"/>
      <c r="C497" s="335"/>
      <c r="D497" s="336"/>
      <c r="E497" s="336"/>
      <c r="F497" s="336"/>
      <c r="G497" s="336"/>
      <c r="H497" s="336"/>
      <c r="I497" s="336"/>
      <c r="J497" s="336"/>
      <c r="K497" s="336"/>
      <c r="L497" s="343"/>
      <c r="M497" s="335"/>
      <c r="N497" s="335"/>
      <c r="O497" s="335"/>
      <c r="P497" s="331"/>
      <c r="Q497" s="332"/>
      <c r="W497" s="60"/>
    </row>
    <row r="498" spans="1:23" ht="14.25">
      <c r="A498" s="335"/>
      <c r="B498" s="335"/>
      <c r="C498" s="335"/>
      <c r="D498" s="336"/>
      <c r="E498" s="336"/>
      <c r="F498" s="336"/>
      <c r="G498" s="336"/>
      <c r="H498" s="336"/>
      <c r="I498" s="336"/>
      <c r="J498" s="336"/>
      <c r="K498" s="336"/>
      <c r="L498" s="343"/>
      <c r="M498" s="335"/>
      <c r="N498" s="335"/>
      <c r="O498" s="335"/>
      <c r="P498" s="331"/>
      <c r="Q498" s="332"/>
      <c r="W498" s="60"/>
    </row>
    <row r="499" spans="1:23" ht="14.25">
      <c r="A499" s="335"/>
      <c r="B499" s="335"/>
      <c r="C499" s="335"/>
      <c r="D499" s="336"/>
      <c r="E499" s="336"/>
      <c r="F499" s="336"/>
      <c r="G499" s="336"/>
      <c r="H499" s="336"/>
      <c r="I499" s="336"/>
      <c r="J499" s="336"/>
      <c r="K499" s="336"/>
      <c r="L499" s="343"/>
      <c r="M499" s="335"/>
      <c r="N499" s="335"/>
      <c r="O499" s="335"/>
      <c r="P499" s="331"/>
      <c r="Q499" s="332"/>
      <c r="W499" s="60"/>
    </row>
    <row r="500" spans="1:23" ht="14.25">
      <c r="A500" s="335"/>
      <c r="B500" s="335"/>
      <c r="C500" s="335"/>
      <c r="D500" s="336"/>
      <c r="E500" s="336"/>
      <c r="F500" s="336"/>
      <c r="G500" s="336"/>
      <c r="H500" s="336"/>
      <c r="I500" s="336"/>
      <c r="J500" s="336"/>
      <c r="K500" s="336"/>
      <c r="L500" s="343"/>
      <c r="M500" s="335"/>
      <c r="N500" s="335"/>
      <c r="O500" s="335"/>
      <c r="P500" s="331"/>
      <c r="Q500" s="332"/>
      <c r="W500" s="60"/>
    </row>
    <row r="501" spans="1:23" ht="14.25">
      <c r="A501" s="335"/>
      <c r="B501" s="335"/>
      <c r="C501" s="335"/>
      <c r="D501" s="336"/>
      <c r="E501" s="336"/>
      <c r="F501" s="336"/>
      <c r="G501" s="336"/>
      <c r="H501" s="336"/>
      <c r="I501" s="336"/>
      <c r="J501" s="336"/>
      <c r="K501" s="336"/>
      <c r="L501" s="343"/>
      <c r="M501" s="335"/>
      <c r="N501" s="335"/>
      <c r="O501" s="335"/>
      <c r="P501" s="331"/>
      <c r="Q501" s="332"/>
      <c r="W501" s="60"/>
    </row>
    <row r="502" spans="1:23" ht="14.25">
      <c r="A502" s="335"/>
      <c r="B502" s="335"/>
      <c r="C502" s="335"/>
      <c r="D502" s="336"/>
      <c r="E502" s="336"/>
      <c r="F502" s="336"/>
      <c r="G502" s="336"/>
      <c r="H502" s="336"/>
      <c r="I502" s="336"/>
      <c r="J502" s="336"/>
      <c r="K502" s="336"/>
      <c r="L502" s="343"/>
      <c r="M502" s="335"/>
      <c r="N502" s="335"/>
      <c r="O502" s="335"/>
      <c r="P502" s="331"/>
      <c r="Q502" s="332"/>
      <c r="W502" s="60"/>
    </row>
    <row r="503" spans="1:23" ht="14.25">
      <c r="A503" s="335"/>
      <c r="B503" s="335"/>
      <c r="C503" s="335"/>
      <c r="D503" s="336"/>
      <c r="E503" s="336"/>
      <c r="F503" s="336"/>
      <c r="G503" s="336"/>
      <c r="H503" s="336"/>
      <c r="I503" s="336"/>
      <c r="J503" s="336"/>
      <c r="K503" s="336"/>
      <c r="L503" s="343"/>
      <c r="M503" s="335"/>
      <c r="N503" s="335"/>
      <c r="O503" s="335"/>
      <c r="P503" s="331"/>
      <c r="Q503" s="332"/>
      <c r="W503" s="60"/>
    </row>
    <row r="504" spans="1:23" ht="14.25">
      <c r="A504" s="335"/>
      <c r="B504" s="335"/>
      <c r="C504" s="335"/>
      <c r="D504" s="336"/>
      <c r="E504" s="336"/>
      <c r="F504" s="336"/>
      <c r="G504" s="336"/>
      <c r="H504" s="336"/>
      <c r="I504" s="336"/>
      <c r="J504" s="336"/>
      <c r="K504" s="336"/>
      <c r="L504" s="343"/>
      <c r="M504" s="335"/>
      <c r="N504" s="335"/>
      <c r="O504" s="335"/>
      <c r="P504" s="331"/>
      <c r="Q504" s="332"/>
      <c r="W504" s="60"/>
    </row>
    <row r="505" spans="1:23" ht="14.25">
      <c r="A505" s="335"/>
      <c r="B505" s="335"/>
      <c r="C505" s="335"/>
      <c r="D505" s="336"/>
      <c r="E505" s="336"/>
      <c r="F505" s="336"/>
      <c r="G505" s="336"/>
      <c r="H505" s="336"/>
      <c r="I505" s="336"/>
      <c r="J505" s="336"/>
      <c r="K505" s="336"/>
      <c r="L505" s="343"/>
      <c r="M505" s="335"/>
      <c r="N505" s="335"/>
      <c r="O505" s="335"/>
      <c r="P505" s="331"/>
      <c r="Q505" s="332"/>
      <c r="W505" s="60"/>
    </row>
    <row r="506" spans="1:23" ht="14.25">
      <c r="A506" s="335"/>
      <c r="B506" s="335"/>
      <c r="C506" s="335"/>
      <c r="D506" s="336"/>
      <c r="E506" s="336"/>
      <c r="F506" s="336"/>
      <c r="G506" s="336"/>
      <c r="H506" s="336"/>
      <c r="I506" s="336"/>
      <c r="J506" s="336"/>
      <c r="K506" s="336"/>
      <c r="L506" s="343"/>
      <c r="M506" s="335"/>
      <c r="N506" s="335"/>
      <c r="O506" s="335"/>
      <c r="P506" s="331"/>
      <c r="Q506" s="332"/>
      <c r="W506" s="60"/>
    </row>
    <row r="507" spans="1:23" ht="14.25">
      <c r="A507" s="335"/>
      <c r="B507" s="335"/>
      <c r="C507" s="335"/>
      <c r="D507" s="336"/>
      <c r="E507" s="336"/>
      <c r="F507" s="336"/>
      <c r="G507" s="336"/>
      <c r="H507" s="336"/>
      <c r="I507" s="336"/>
      <c r="J507" s="336"/>
      <c r="K507" s="336"/>
      <c r="L507" s="343"/>
      <c r="M507" s="335"/>
      <c r="N507" s="335"/>
      <c r="O507" s="335"/>
      <c r="P507" s="331"/>
      <c r="Q507" s="332"/>
      <c r="W507" s="60"/>
    </row>
    <row r="508" spans="1:23" ht="14.25">
      <c r="A508" s="335"/>
      <c r="B508" s="335"/>
      <c r="C508" s="335"/>
      <c r="D508" s="336"/>
      <c r="E508" s="336"/>
      <c r="F508" s="336"/>
      <c r="G508" s="336"/>
      <c r="H508" s="336"/>
      <c r="I508" s="336"/>
      <c r="J508" s="336"/>
      <c r="K508" s="336"/>
      <c r="L508" s="343"/>
      <c r="M508" s="335"/>
      <c r="N508" s="335"/>
      <c r="O508" s="335"/>
      <c r="P508" s="331"/>
      <c r="Q508" s="332"/>
      <c r="W508" s="60"/>
    </row>
    <row r="509" spans="1:23" ht="14.25">
      <c r="A509" s="335"/>
      <c r="B509" s="335"/>
      <c r="C509" s="335"/>
      <c r="D509" s="336"/>
      <c r="E509" s="336"/>
      <c r="F509" s="336"/>
      <c r="G509" s="336"/>
      <c r="H509" s="336"/>
      <c r="I509" s="336"/>
      <c r="J509" s="336"/>
      <c r="K509" s="336"/>
      <c r="L509" s="343"/>
      <c r="M509" s="335"/>
      <c r="N509" s="335"/>
      <c r="O509" s="335"/>
      <c r="P509" s="331"/>
      <c r="Q509" s="332"/>
      <c r="W509" s="60"/>
    </row>
    <row r="510" spans="1:23" ht="14.25">
      <c r="A510" s="335"/>
      <c r="B510" s="335"/>
      <c r="C510" s="335"/>
      <c r="D510" s="336"/>
      <c r="E510" s="336"/>
      <c r="F510" s="336"/>
      <c r="G510" s="336"/>
      <c r="H510" s="336"/>
      <c r="I510" s="336"/>
      <c r="J510" s="336"/>
      <c r="K510" s="336"/>
      <c r="L510" s="343"/>
      <c r="M510" s="335"/>
      <c r="N510" s="335"/>
      <c r="O510" s="335"/>
      <c r="P510" s="331"/>
      <c r="Q510" s="332"/>
      <c r="W510" s="60"/>
    </row>
    <row r="511" spans="1:23" ht="14.25">
      <c r="A511" s="335"/>
      <c r="B511" s="335"/>
      <c r="C511" s="335"/>
      <c r="D511" s="336"/>
      <c r="E511" s="336"/>
      <c r="F511" s="336"/>
      <c r="G511" s="336"/>
      <c r="H511" s="336"/>
      <c r="I511" s="336"/>
      <c r="J511" s="336"/>
      <c r="K511" s="336"/>
      <c r="L511" s="343"/>
      <c r="M511" s="335"/>
      <c r="N511" s="335"/>
      <c r="O511" s="335"/>
      <c r="P511" s="331"/>
      <c r="Q511" s="332"/>
      <c r="W511" s="60"/>
    </row>
    <row r="512" spans="1:23" ht="14.25">
      <c r="A512" s="335"/>
      <c r="B512" s="335"/>
      <c r="C512" s="335"/>
      <c r="D512" s="336"/>
      <c r="E512" s="336"/>
      <c r="F512" s="336"/>
      <c r="G512" s="336"/>
      <c r="H512" s="336"/>
      <c r="I512" s="336"/>
      <c r="J512" s="336"/>
      <c r="K512" s="336"/>
      <c r="L512" s="343"/>
      <c r="M512" s="335"/>
      <c r="N512" s="335"/>
      <c r="O512" s="335"/>
      <c r="P512" s="331"/>
      <c r="Q512" s="332"/>
      <c r="W512" s="60"/>
    </row>
    <row r="513" spans="1:23" ht="14.25">
      <c r="A513" s="335"/>
      <c r="B513" s="335"/>
      <c r="C513" s="335"/>
      <c r="D513" s="336"/>
      <c r="E513" s="336"/>
      <c r="F513" s="336"/>
      <c r="G513" s="336"/>
      <c r="H513" s="336"/>
      <c r="I513" s="336"/>
      <c r="J513" s="336"/>
      <c r="K513" s="336"/>
      <c r="L513" s="343"/>
      <c r="M513" s="335"/>
      <c r="N513" s="335"/>
      <c r="O513" s="335"/>
      <c r="P513" s="331"/>
      <c r="Q513" s="332"/>
      <c r="W513" s="60"/>
    </row>
    <row r="514" spans="1:23" ht="14.25">
      <c r="A514" s="335"/>
      <c r="B514" s="335"/>
      <c r="C514" s="335"/>
      <c r="D514" s="336"/>
      <c r="E514" s="336"/>
      <c r="F514" s="336"/>
      <c r="G514" s="336"/>
      <c r="H514" s="336"/>
      <c r="I514" s="336"/>
      <c r="J514" s="336"/>
      <c r="K514" s="336"/>
      <c r="L514" s="343"/>
      <c r="M514" s="335"/>
      <c r="N514" s="335"/>
      <c r="O514" s="335"/>
      <c r="P514" s="331"/>
      <c r="Q514" s="332"/>
      <c r="W514" s="60"/>
    </row>
    <row r="515" spans="1:23" ht="14.25">
      <c r="A515" s="335"/>
      <c r="B515" s="335"/>
      <c r="C515" s="335"/>
      <c r="D515" s="336"/>
      <c r="E515" s="336"/>
      <c r="F515" s="336"/>
      <c r="G515" s="336"/>
      <c r="H515" s="336"/>
      <c r="I515" s="336"/>
      <c r="J515" s="336"/>
      <c r="K515" s="336"/>
      <c r="L515" s="343"/>
      <c r="M515" s="335"/>
      <c r="N515" s="335"/>
      <c r="O515" s="335"/>
      <c r="P515" s="331"/>
      <c r="Q515" s="332"/>
      <c r="W515" s="60"/>
    </row>
    <row r="516" spans="1:23" ht="14.25">
      <c r="A516" s="335"/>
      <c r="B516" s="335"/>
      <c r="C516" s="335"/>
      <c r="D516" s="336"/>
      <c r="E516" s="336"/>
      <c r="F516" s="336"/>
      <c r="G516" s="336"/>
      <c r="H516" s="336"/>
      <c r="I516" s="336"/>
      <c r="J516" s="336"/>
      <c r="K516" s="336"/>
      <c r="L516" s="343"/>
      <c r="M516" s="335"/>
      <c r="N516" s="335"/>
      <c r="O516" s="335"/>
      <c r="P516" s="331"/>
      <c r="Q516" s="332"/>
      <c r="W516" s="60"/>
    </row>
    <row r="517" spans="1:23" ht="14.25">
      <c r="A517" s="335"/>
      <c r="B517" s="335"/>
      <c r="C517" s="335"/>
      <c r="D517" s="336"/>
      <c r="E517" s="336"/>
      <c r="F517" s="336"/>
      <c r="G517" s="336"/>
      <c r="H517" s="336"/>
      <c r="I517" s="336"/>
      <c r="J517" s="336"/>
      <c r="K517" s="336"/>
      <c r="L517" s="343"/>
      <c r="M517" s="335"/>
      <c r="N517" s="335"/>
      <c r="O517" s="335"/>
      <c r="P517" s="331"/>
      <c r="Q517" s="332"/>
      <c r="W517" s="60"/>
    </row>
    <row r="518" spans="1:23" ht="14.25">
      <c r="A518" s="335"/>
      <c r="B518" s="335"/>
      <c r="C518" s="335"/>
      <c r="D518" s="336"/>
      <c r="E518" s="336"/>
      <c r="F518" s="336"/>
      <c r="G518" s="336"/>
      <c r="H518" s="336"/>
      <c r="I518" s="336"/>
      <c r="J518" s="336"/>
      <c r="K518" s="336"/>
      <c r="L518" s="343"/>
      <c r="M518" s="335"/>
      <c r="N518" s="335"/>
      <c r="O518" s="335"/>
      <c r="P518" s="331"/>
      <c r="Q518" s="332"/>
      <c r="W518" s="60"/>
    </row>
    <row r="519" spans="1:23" ht="14.25">
      <c r="A519" s="335"/>
      <c r="B519" s="335"/>
      <c r="C519" s="335"/>
      <c r="D519" s="336"/>
      <c r="E519" s="336"/>
      <c r="F519" s="336"/>
      <c r="G519" s="336"/>
      <c r="H519" s="336"/>
      <c r="I519" s="336"/>
      <c r="J519" s="336"/>
      <c r="K519" s="336"/>
      <c r="L519" s="343"/>
      <c r="M519" s="335"/>
      <c r="N519" s="335"/>
      <c r="O519" s="335"/>
      <c r="P519" s="331"/>
      <c r="Q519" s="332"/>
      <c r="W519" s="60"/>
    </row>
    <row r="520" spans="1:23" ht="14.25">
      <c r="A520" s="335"/>
      <c r="B520" s="335"/>
      <c r="C520" s="335"/>
      <c r="D520" s="336"/>
      <c r="E520" s="336"/>
      <c r="F520" s="336"/>
      <c r="G520" s="336"/>
      <c r="H520" s="336"/>
      <c r="I520" s="336"/>
      <c r="J520" s="336"/>
      <c r="K520" s="336"/>
      <c r="L520" s="343"/>
      <c r="M520" s="335"/>
      <c r="N520" s="335"/>
      <c r="O520" s="335"/>
      <c r="P520" s="331"/>
      <c r="Q520" s="332"/>
      <c r="W520" s="60"/>
    </row>
    <row r="521" spans="1:23" ht="14.25">
      <c r="A521" s="335"/>
      <c r="B521" s="335"/>
      <c r="C521" s="335"/>
      <c r="D521" s="336"/>
      <c r="E521" s="336"/>
      <c r="F521" s="336"/>
      <c r="G521" s="336"/>
      <c r="H521" s="336"/>
      <c r="I521" s="336"/>
      <c r="J521" s="336"/>
      <c r="K521" s="336"/>
      <c r="L521" s="343"/>
      <c r="M521" s="335"/>
      <c r="N521" s="335"/>
      <c r="O521" s="335"/>
      <c r="P521" s="331"/>
      <c r="Q521" s="332"/>
      <c r="W521" s="60"/>
    </row>
    <row r="522" spans="1:23" ht="14.25">
      <c r="A522" s="335"/>
      <c r="B522" s="335"/>
      <c r="C522" s="335"/>
      <c r="D522" s="336"/>
      <c r="E522" s="336"/>
      <c r="F522" s="336"/>
      <c r="G522" s="336"/>
      <c r="H522" s="336"/>
      <c r="I522" s="336"/>
      <c r="J522" s="336"/>
      <c r="K522" s="336"/>
      <c r="L522" s="343"/>
      <c r="M522" s="335"/>
      <c r="N522" s="335"/>
      <c r="O522" s="335"/>
      <c r="P522" s="331"/>
      <c r="Q522" s="332"/>
      <c r="W522" s="60"/>
    </row>
    <row r="523" spans="1:23" ht="14.25">
      <c r="A523" s="335"/>
      <c r="B523" s="335"/>
      <c r="C523" s="335"/>
      <c r="D523" s="336"/>
      <c r="E523" s="336"/>
      <c r="F523" s="336"/>
      <c r="G523" s="336"/>
      <c r="H523" s="336"/>
      <c r="I523" s="336"/>
      <c r="J523" s="336"/>
      <c r="K523" s="336"/>
      <c r="L523" s="343"/>
      <c r="M523" s="335"/>
      <c r="N523" s="335"/>
      <c r="O523" s="335"/>
      <c r="P523" s="331"/>
      <c r="Q523" s="332"/>
      <c r="W523" s="60"/>
    </row>
    <row r="524" spans="1:23" ht="14.25">
      <c r="A524" s="335"/>
      <c r="B524" s="335"/>
      <c r="C524" s="335"/>
      <c r="D524" s="336"/>
      <c r="E524" s="336"/>
      <c r="F524" s="336"/>
      <c r="G524" s="336"/>
      <c r="H524" s="336"/>
      <c r="I524" s="336"/>
      <c r="J524" s="336"/>
      <c r="K524" s="336"/>
      <c r="L524" s="343"/>
      <c r="M524" s="335"/>
      <c r="N524" s="335"/>
      <c r="O524" s="335"/>
      <c r="P524" s="331"/>
      <c r="Q524" s="332"/>
      <c r="W524" s="60"/>
    </row>
    <row r="525" spans="1:23" ht="14.25">
      <c r="A525" s="335"/>
      <c r="B525" s="335"/>
      <c r="C525" s="335"/>
      <c r="D525" s="336"/>
      <c r="E525" s="336"/>
      <c r="F525" s="336"/>
      <c r="G525" s="336"/>
      <c r="H525" s="336"/>
      <c r="I525" s="336"/>
      <c r="J525" s="336"/>
      <c r="K525" s="336"/>
      <c r="L525" s="343"/>
      <c r="M525" s="335"/>
      <c r="N525" s="335"/>
      <c r="O525" s="335"/>
      <c r="P525" s="331"/>
      <c r="Q525" s="332"/>
      <c r="W525" s="60"/>
    </row>
    <row r="526" spans="1:23" ht="14.25">
      <c r="A526" s="335"/>
      <c r="B526" s="335"/>
      <c r="C526" s="335"/>
      <c r="D526" s="336"/>
      <c r="E526" s="336"/>
      <c r="F526" s="336"/>
      <c r="G526" s="336"/>
      <c r="H526" s="336"/>
      <c r="I526" s="336"/>
      <c r="J526" s="336"/>
      <c r="K526" s="336"/>
      <c r="L526" s="343"/>
      <c r="M526" s="335"/>
      <c r="N526" s="335"/>
      <c r="O526" s="335"/>
      <c r="P526" s="331"/>
      <c r="Q526" s="332"/>
      <c r="W526" s="60"/>
    </row>
    <row r="527" spans="1:23" ht="14.25">
      <c r="A527" s="335"/>
      <c r="B527" s="335"/>
      <c r="C527" s="335"/>
      <c r="D527" s="336"/>
      <c r="E527" s="336"/>
      <c r="F527" s="336"/>
      <c r="G527" s="336"/>
      <c r="H527" s="336"/>
      <c r="I527" s="336"/>
      <c r="J527" s="336"/>
      <c r="K527" s="336"/>
      <c r="L527" s="343"/>
      <c r="M527" s="335"/>
      <c r="N527" s="335"/>
      <c r="O527" s="335"/>
      <c r="P527" s="331"/>
      <c r="Q527" s="332"/>
      <c r="W527" s="60"/>
    </row>
    <row r="528" spans="1:23" ht="14.25">
      <c r="A528" s="335"/>
      <c r="B528" s="335"/>
      <c r="C528" s="335"/>
      <c r="D528" s="336"/>
      <c r="E528" s="336"/>
      <c r="F528" s="336"/>
      <c r="G528" s="336"/>
      <c r="H528" s="336"/>
      <c r="I528" s="336"/>
      <c r="J528" s="336"/>
      <c r="K528" s="336"/>
      <c r="L528" s="343"/>
      <c r="M528" s="335"/>
      <c r="N528" s="335"/>
      <c r="O528" s="335"/>
      <c r="P528" s="331"/>
      <c r="Q528" s="332"/>
      <c r="W528" s="60"/>
    </row>
    <row r="529" spans="1:23" ht="14.25">
      <c r="A529" s="335"/>
      <c r="B529" s="335"/>
      <c r="C529" s="335"/>
      <c r="D529" s="336"/>
      <c r="E529" s="336"/>
      <c r="F529" s="336"/>
      <c r="G529" s="336"/>
      <c r="H529" s="336"/>
      <c r="I529" s="336"/>
      <c r="J529" s="336"/>
      <c r="K529" s="336"/>
      <c r="L529" s="343"/>
      <c r="M529" s="335"/>
      <c r="N529" s="335"/>
      <c r="O529" s="335"/>
      <c r="P529" s="331"/>
      <c r="Q529" s="332"/>
      <c r="W529" s="60"/>
    </row>
    <row r="530" spans="1:23" ht="14.25">
      <c r="A530" s="335"/>
      <c r="B530" s="335"/>
      <c r="C530" s="335"/>
      <c r="D530" s="336"/>
      <c r="E530" s="336"/>
      <c r="F530" s="336"/>
      <c r="G530" s="336"/>
      <c r="H530" s="336"/>
      <c r="I530" s="336"/>
      <c r="J530" s="336"/>
      <c r="K530" s="336"/>
      <c r="L530" s="343"/>
      <c r="M530" s="335"/>
      <c r="N530" s="335"/>
      <c r="O530" s="335"/>
      <c r="P530" s="331"/>
      <c r="Q530" s="332"/>
      <c r="W530" s="60"/>
    </row>
    <row r="531" spans="1:23" ht="14.25">
      <c r="A531" s="335"/>
      <c r="B531" s="335"/>
      <c r="C531" s="335"/>
      <c r="D531" s="336"/>
      <c r="E531" s="336"/>
      <c r="F531" s="336"/>
      <c r="G531" s="336"/>
      <c r="H531" s="336"/>
      <c r="I531" s="336"/>
      <c r="J531" s="336"/>
      <c r="K531" s="336"/>
      <c r="L531" s="343"/>
      <c r="M531" s="335"/>
      <c r="N531" s="335"/>
      <c r="O531" s="335"/>
      <c r="P531" s="331"/>
      <c r="Q531" s="332"/>
      <c r="W531" s="60"/>
    </row>
    <row r="532" spans="1:23" ht="14.25">
      <c r="A532" s="335"/>
      <c r="B532" s="335"/>
      <c r="C532" s="335"/>
      <c r="D532" s="336"/>
      <c r="E532" s="336"/>
      <c r="F532" s="336"/>
      <c r="G532" s="336"/>
      <c r="H532" s="336"/>
      <c r="I532" s="336"/>
      <c r="J532" s="336"/>
      <c r="K532" s="336"/>
      <c r="L532" s="343"/>
      <c r="M532" s="335"/>
      <c r="N532" s="335"/>
      <c r="O532" s="335"/>
      <c r="P532" s="331"/>
      <c r="Q532" s="332"/>
      <c r="W532" s="60"/>
    </row>
    <row r="533" spans="1:23" ht="14.25">
      <c r="A533" s="335"/>
      <c r="B533" s="335"/>
      <c r="C533" s="335"/>
      <c r="D533" s="336"/>
      <c r="E533" s="336"/>
      <c r="F533" s="336"/>
      <c r="G533" s="336"/>
      <c r="H533" s="336"/>
      <c r="I533" s="336"/>
      <c r="J533" s="336"/>
      <c r="K533" s="336"/>
      <c r="L533" s="343"/>
      <c r="M533" s="335"/>
      <c r="N533" s="335"/>
      <c r="O533" s="335"/>
      <c r="P533" s="331"/>
      <c r="Q533" s="332"/>
      <c r="W533" s="60"/>
    </row>
    <row r="534" spans="1:23" ht="14.25">
      <c r="A534" s="335"/>
      <c r="B534" s="335"/>
      <c r="C534" s="335"/>
      <c r="D534" s="336"/>
      <c r="E534" s="336"/>
      <c r="F534" s="336"/>
      <c r="G534" s="336"/>
      <c r="H534" s="336"/>
      <c r="I534" s="336"/>
      <c r="J534" s="336"/>
      <c r="K534" s="336"/>
      <c r="L534" s="343"/>
      <c r="M534" s="335"/>
      <c r="N534" s="335"/>
      <c r="O534" s="335"/>
      <c r="P534" s="331"/>
      <c r="Q534" s="332"/>
      <c r="W534" s="60"/>
    </row>
    <row r="535" spans="1:23" ht="14.25">
      <c r="A535" s="335"/>
      <c r="B535" s="335"/>
      <c r="C535" s="335"/>
      <c r="D535" s="336"/>
      <c r="E535" s="336"/>
      <c r="F535" s="336"/>
      <c r="G535" s="336"/>
      <c r="H535" s="336"/>
      <c r="I535" s="336"/>
      <c r="J535" s="336"/>
      <c r="K535" s="336"/>
      <c r="L535" s="343"/>
      <c r="M535" s="335"/>
      <c r="N535" s="335"/>
      <c r="O535" s="335"/>
      <c r="P535" s="331"/>
      <c r="Q535" s="332"/>
      <c r="W535" s="60"/>
    </row>
    <row r="536" spans="1:23" ht="14.25">
      <c r="A536" s="335"/>
      <c r="B536" s="335"/>
      <c r="C536" s="335"/>
      <c r="D536" s="336"/>
      <c r="E536" s="336"/>
      <c r="F536" s="336"/>
      <c r="G536" s="336"/>
      <c r="H536" s="336"/>
      <c r="I536" s="336"/>
      <c r="J536" s="336"/>
      <c r="K536" s="336"/>
      <c r="L536" s="343"/>
      <c r="M536" s="335"/>
      <c r="N536" s="335"/>
      <c r="O536" s="335"/>
      <c r="P536" s="331"/>
      <c r="Q536" s="332"/>
      <c r="W536" s="60"/>
    </row>
    <row r="537" spans="1:23" ht="14.25">
      <c r="A537" s="335"/>
      <c r="B537" s="335"/>
      <c r="C537" s="335"/>
      <c r="D537" s="336"/>
      <c r="E537" s="336"/>
      <c r="F537" s="336"/>
      <c r="G537" s="336"/>
      <c r="H537" s="336"/>
      <c r="I537" s="336"/>
      <c r="J537" s="336"/>
      <c r="K537" s="336"/>
      <c r="L537" s="343"/>
      <c r="M537" s="335"/>
      <c r="N537" s="335"/>
      <c r="O537" s="335"/>
      <c r="P537" s="331"/>
      <c r="Q537" s="332"/>
      <c r="W537" s="60"/>
    </row>
    <row r="538" spans="1:23" ht="14.25">
      <c r="A538" s="335"/>
      <c r="B538" s="335"/>
      <c r="C538" s="335"/>
      <c r="D538" s="336"/>
      <c r="E538" s="336"/>
      <c r="F538" s="336"/>
      <c r="G538" s="336"/>
      <c r="H538" s="336"/>
      <c r="I538" s="336"/>
      <c r="J538" s="336"/>
      <c r="K538" s="336"/>
      <c r="L538" s="343"/>
      <c r="M538" s="335"/>
      <c r="N538" s="335"/>
      <c r="O538" s="335"/>
      <c r="P538" s="331"/>
      <c r="Q538" s="332"/>
      <c r="W538" s="60"/>
    </row>
    <row r="539" spans="1:23" ht="14.25">
      <c r="A539" s="335"/>
      <c r="B539" s="335"/>
      <c r="C539" s="335"/>
      <c r="D539" s="336"/>
      <c r="E539" s="336"/>
      <c r="F539" s="336"/>
      <c r="G539" s="336"/>
      <c r="H539" s="336"/>
      <c r="I539" s="336"/>
      <c r="J539" s="336"/>
      <c r="K539" s="336"/>
      <c r="L539" s="343"/>
      <c r="M539" s="335"/>
      <c r="N539" s="335"/>
      <c r="O539" s="335"/>
      <c r="P539" s="331"/>
      <c r="Q539" s="332"/>
      <c r="W539" s="60"/>
    </row>
    <row r="540" spans="1:23" ht="14.25">
      <c r="A540" s="335"/>
      <c r="B540" s="335"/>
      <c r="C540" s="335"/>
      <c r="D540" s="336"/>
      <c r="E540" s="336"/>
      <c r="F540" s="336"/>
      <c r="G540" s="336"/>
      <c r="H540" s="336"/>
      <c r="I540" s="336"/>
      <c r="J540" s="336"/>
      <c r="K540" s="336"/>
      <c r="L540" s="343"/>
      <c r="M540" s="335"/>
      <c r="N540" s="335"/>
      <c r="O540" s="335"/>
      <c r="P540" s="331"/>
      <c r="Q540" s="332"/>
      <c r="W540" s="60"/>
    </row>
    <row r="541" spans="1:23" ht="14.25">
      <c r="A541" s="335"/>
      <c r="B541" s="335"/>
      <c r="C541" s="335"/>
      <c r="D541" s="336"/>
      <c r="E541" s="336"/>
      <c r="F541" s="336"/>
      <c r="G541" s="336"/>
      <c r="H541" s="336"/>
      <c r="I541" s="336"/>
      <c r="J541" s="336"/>
      <c r="K541" s="336"/>
      <c r="L541" s="343"/>
      <c r="M541" s="335"/>
      <c r="N541" s="335"/>
      <c r="O541" s="335"/>
      <c r="P541" s="331"/>
      <c r="Q541" s="332"/>
      <c r="W541" s="60"/>
    </row>
    <row r="542" spans="1:23" ht="14.25">
      <c r="A542" s="335"/>
      <c r="B542" s="335"/>
      <c r="C542" s="335"/>
      <c r="D542" s="336"/>
      <c r="E542" s="336"/>
      <c r="F542" s="336"/>
      <c r="G542" s="336"/>
      <c r="H542" s="336"/>
      <c r="I542" s="336"/>
      <c r="J542" s="336"/>
      <c r="K542" s="336"/>
      <c r="L542" s="343"/>
      <c r="M542" s="335"/>
      <c r="N542" s="335"/>
      <c r="O542" s="335"/>
      <c r="P542" s="331"/>
      <c r="Q542" s="332"/>
      <c r="W542" s="60"/>
    </row>
    <row r="543" spans="1:23" ht="14.25">
      <c r="A543" s="335"/>
      <c r="B543" s="335"/>
      <c r="C543" s="335"/>
      <c r="D543" s="336"/>
      <c r="E543" s="336"/>
      <c r="F543" s="336"/>
      <c r="G543" s="336"/>
      <c r="H543" s="336"/>
      <c r="I543" s="336"/>
      <c r="J543" s="336"/>
      <c r="K543" s="336"/>
      <c r="L543" s="343"/>
      <c r="M543" s="335"/>
      <c r="N543" s="335"/>
      <c r="O543" s="335"/>
      <c r="P543" s="331"/>
      <c r="Q543" s="332"/>
      <c r="W543" s="60"/>
    </row>
    <row r="544" spans="1:23" ht="14.25">
      <c r="A544" s="335"/>
      <c r="B544" s="335"/>
      <c r="C544" s="335"/>
      <c r="D544" s="336"/>
      <c r="E544" s="336"/>
      <c r="F544" s="336"/>
      <c r="G544" s="336"/>
      <c r="H544" s="336"/>
      <c r="I544" s="336"/>
      <c r="J544" s="336"/>
      <c r="K544" s="336"/>
      <c r="L544" s="343"/>
      <c r="M544" s="335"/>
      <c r="N544" s="335"/>
      <c r="O544" s="335"/>
      <c r="P544" s="331"/>
      <c r="Q544" s="332"/>
      <c r="W544" s="60"/>
    </row>
    <row r="545" spans="1:23" ht="14.25">
      <c r="A545" s="335"/>
      <c r="B545" s="335"/>
      <c r="C545" s="335"/>
      <c r="D545" s="336"/>
      <c r="E545" s="336"/>
      <c r="F545" s="336"/>
      <c r="G545" s="336"/>
      <c r="H545" s="336"/>
      <c r="I545" s="336"/>
      <c r="J545" s="336"/>
      <c r="K545" s="336"/>
      <c r="L545" s="343"/>
      <c r="M545" s="335"/>
      <c r="N545" s="335"/>
      <c r="O545" s="335"/>
      <c r="P545" s="331"/>
      <c r="Q545" s="332"/>
      <c r="W545" s="60"/>
    </row>
    <row r="546" spans="1:23" ht="14.25">
      <c r="A546" s="335"/>
      <c r="B546" s="335"/>
      <c r="C546" s="335"/>
      <c r="D546" s="336"/>
      <c r="E546" s="336"/>
      <c r="F546" s="336"/>
      <c r="G546" s="336"/>
      <c r="H546" s="336"/>
      <c r="I546" s="336"/>
      <c r="J546" s="336"/>
      <c r="K546" s="336"/>
      <c r="L546" s="343"/>
      <c r="M546" s="335"/>
      <c r="N546" s="335"/>
      <c r="O546" s="335"/>
      <c r="P546" s="331"/>
      <c r="Q546" s="332"/>
      <c r="W546" s="60"/>
    </row>
    <row r="547" spans="1:23" ht="14.25">
      <c r="A547" s="335"/>
      <c r="B547" s="335"/>
      <c r="C547" s="335"/>
      <c r="D547" s="336"/>
      <c r="E547" s="336"/>
      <c r="F547" s="336"/>
      <c r="G547" s="336"/>
      <c r="H547" s="336"/>
      <c r="I547" s="336"/>
      <c r="J547" s="336"/>
      <c r="K547" s="336"/>
      <c r="L547" s="343"/>
      <c r="M547" s="335"/>
      <c r="N547" s="335"/>
      <c r="O547" s="335"/>
      <c r="P547" s="331"/>
      <c r="Q547" s="332"/>
      <c r="W547" s="60"/>
    </row>
    <row r="548" spans="1:23" ht="14.25">
      <c r="A548" s="335"/>
      <c r="B548" s="335"/>
      <c r="C548" s="335"/>
      <c r="D548" s="336"/>
      <c r="E548" s="336"/>
      <c r="F548" s="336"/>
      <c r="G548" s="336"/>
      <c r="H548" s="336"/>
      <c r="I548" s="336"/>
      <c r="J548" s="336"/>
      <c r="K548" s="336"/>
      <c r="L548" s="343"/>
      <c r="M548" s="335"/>
      <c r="N548" s="335"/>
      <c r="O548" s="335"/>
      <c r="P548" s="331"/>
      <c r="Q548" s="332"/>
      <c r="W548" s="60"/>
    </row>
    <row r="549" spans="1:23" ht="14.25">
      <c r="A549" s="335"/>
      <c r="B549" s="335"/>
      <c r="C549" s="335"/>
      <c r="D549" s="336"/>
      <c r="E549" s="336"/>
      <c r="F549" s="336"/>
      <c r="G549" s="336"/>
      <c r="H549" s="336"/>
      <c r="I549" s="336"/>
      <c r="J549" s="336"/>
      <c r="K549" s="336"/>
      <c r="L549" s="343"/>
      <c r="M549" s="335"/>
      <c r="N549" s="335"/>
      <c r="O549" s="335"/>
      <c r="P549" s="331"/>
      <c r="Q549" s="332"/>
      <c r="W549" s="60"/>
    </row>
    <row r="550" spans="1:23" ht="14.25">
      <c r="A550" s="335"/>
      <c r="B550" s="335"/>
      <c r="C550" s="335"/>
      <c r="D550" s="336"/>
      <c r="E550" s="336"/>
      <c r="F550" s="336"/>
      <c r="G550" s="336"/>
      <c r="H550" s="336"/>
      <c r="I550" s="336"/>
      <c r="J550" s="336"/>
      <c r="K550" s="336"/>
      <c r="L550" s="343"/>
      <c r="M550" s="335"/>
      <c r="N550" s="335"/>
      <c r="O550" s="335"/>
      <c r="P550" s="331"/>
      <c r="Q550" s="332"/>
      <c r="W550" s="60"/>
    </row>
    <row r="551" spans="1:23" ht="14.25">
      <c r="A551" s="335"/>
      <c r="B551" s="335"/>
      <c r="C551" s="335"/>
      <c r="D551" s="336"/>
      <c r="E551" s="336"/>
      <c r="F551" s="336"/>
      <c r="G551" s="336"/>
      <c r="H551" s="336"/>
      <c r="I551" s="336"/>
      <c r="J551" s="336"/>
      <c r="K551" s="336"/>
      <c r="L551" s="343"/>
      <c r="M551" s="335"/>
      <c r="N551" s="335"/>
      <c r="O551" s="335"/>
      <c r="P551" s="331"/>
      <c r="Q551" s="332"/>
      <c r="W551" s="60"/>
    </row>
    <row r="552" spans="1:23" ht="14.25">
      <c r="A552" s="335"/>
      <c r="B552" s="335"/>
      <c r="C552" s="335"/>
      <c r="D552" s="336"/>
      <c r="E552" s="336"/>
      <c r="F552" s="336"/>
      <c r="G552" s="336"/>
      <c r="H552" s="336"/>
      <c r="I552" s="336"/>
      <c r="J552" s="336"/>
      <c r="K552" s="336"/>
      <c r="L552" s="343"/>
      <c r="M552" s="335"/>
      <c r="N552" s="335"/>
      <c r="O552" s="335"/>
      <c r="P552" s="331"/>
      <c r="Q552" s="332"/>
      <c r="W552" s="60"/>
    </row>
    <row r="553" spans="1:23" ht="14.25">
      <c r="A553" s="335"/>
      <c r="B553" s="335"/>
      <c r="C553" s="335"/>
      <c r="D553" s="336"/>
      <c r="E553" s="336"/>
      <c r="F553" s="336"/>
      <c r="G553" s="336"/>
      <c r="H553" s="336"/>
      <c r="I553" s="336"/>
      <c r="J553" s="336"/>
      <c r="K553" s="336"/>
      <c r="L553" s="343"/>
      <c r="M553" s="335"/>
      <c r="N553" s="335"/>
      <c r="O553" s="335"/>
      <c r="P553" s="331"/>
      <c r="Q553" s="332"/>
      <c r="W553" s="60"/>
    </row>
    <row r="554" spans="1:23" ht="14.25">
      <c r="A554" s="335"/>
      <c r="B554" s="335"/>
      <c r="C554" s="335"/>
      <c r="D554" s="336"/>
      <c r="E554" s="336"/>
      <c r="F554" s="336"/>
      <c r="G554" s="336"/>
      <c r="H554" s="336"/>
      <c r="I554" s="336"/>
      <c r="J554" s="336"/>
      <c r="K554" s="336"/>
      <c r="L554" s="343"/>
      <c r="M554" s="335"/>
      <c r="N554" s="335"/>
      <c r="O554" s="335"/>
      <c r="P554" s="331"/>
      <c r="Q554" s="332"/>
      <c r="W554" s="60"/>
    </row>
    <row r="555" spans="1:23" ht="14.25">
      <c r="A555" s="335"/>
      <c r="B555" s="335"/>
      <c r="C555" s="335"/>
      <c r="D555" s="336"/>
      <c r="E555" s="336"/>
      <c r="F555" s="336"/>
      <c r="G555" s="336"/>
      <c r="H555" s="336"/>
      <c r="I555" s="336"/>
      <c r="J555" s="336"/>
      <c r="K555" s="336"/>
      <c r="L555" s="343"/>
      <c r="M555" s="335"/>
      <c r="N555" s="335"/>
      <c r="O555" s="335"/>
      <c r="P555" s="331"/>
      <c r="Q555" s="332"/>
      <c r="W555" s="60"/>
    </row>
    <row r="556" spans="1:23" ht="14.25">
      <c r="A556" s="335"/>
      <c r="B556" s="335"/>
      <c r="C556" s="335"/>
      <c r="D556" s="336"/>
      <c r="E556" s="336"/>
      <c r="F556" s="336"/>
      <c r="G556" s="336"/>
      <c r="H556" s="336"/>
      <c r="I556" s="336"/>
      <c r="J556" s="336"/>
      <c r="K556" s="336"/>
      <c r="L556" s="343"/>
      <c r="M556" s="335"/>
      <c r="N556" s="335"/>
      <c r="O556" s="335"/>
      <c r="P556" s="331"/>
      <c r="Q556" s="332"/>
      <c r="W556" s="60"/>
    </row>
    <row r="557" spans="1:23" ht="14.25">
      <c r="A557" s="335"/>
      <c r="B557" s="335"/>
      <c r="C557" s="335"/>
      <c r="D557" s="336"/>
      <c r="E557" s="336"/>
      <c r="F557" s="336"/>
      <c r="G557" s="336"/>
      <c r="H557" s="336"/>
      <c r="I557" s="336"/>
      <c r="J557" s="336"/>
      <c r="K557" s="336"/>
      <c r="L557" s="343"/>
      <c r="M557" s="335"/>
      <c r="N557" s="335"/>
      <c r="O557" s="335"/>
      <c r="P557" s="331"/>
      <c r="Q557" s="332"/>
      <c r="W557" s="60"/>
    </row>
    <row r="558" spans="1:23" ht="14.25">
      <c r="A558" s="335"/>
      <c r="B558" s="335"/>
      <c r="C558" s="335"/>
      <c r="D558" s="336"/>
      <c r="E558" s="336"/>
      <c r="F558" s="336"/>
      <c r="G558" s="336"/>
      <c r="H558" s="336"/>
      <c r="I558" s="336"/>
      <c r="J558" s="336"/>
      <c r="K558" s="336"/>
      <c r="L558" s="343"/>
      <c r="M558" s="335"/>
      <c r="N558" s="335"/>
      <c r="O558" s="335"/>
      <c r="P558" s="331"/>
      <c r="Q558" s="332"/>
      <c r="W558" s="60"/>
    </row>
    <row r="559" spans="1:23" ht="14.25">
      <c r="A559" s="335"/>
      <c r="B559" s="335"/>
      <c r="C559" s="335"/>
      <c r="D559" s="336"/>
      <c r="E559" s="336"/>
      <c r="F559" s="336"/>
      <c r="G559" s="336"/>
      <c r="H559" s="336"/>
      <c r="I559" s="336"/>
      <c r="J559" s="336"/>
      <c r="K559" s="336"/>
      <c r="L559" s="343"/>
      <c r="M559" s="335"/>
      <c r="N559" s="335"/>
      <c r="O559" s="335"/>
      <c r="P559" s="331"/>
      <c r="Q559" s="332"/>
      <c r="W559" s="60"/>
    </row>
    <row r="560" spans="1:23" ht="14.25">
      <c r="A560" s="335"/>
      <c r="B560" s="335"/>
      <c r="C560" s="335"/>
      <c r="D560" s="336"/>
      <c r="E560" s="336"/>
      <c r="F560" s="336"/>
      <c r="G560" s="336"/>
      <c r="H560" s="336"/>
      <c r="I560" s="336"/>
      <c r="J560" s="336"/>
      <c r="K560" s="336"/>
      <c r="L560" s="343"/>
      <c r="M560" s="335"/>
      <c r="N560" s="335"/>
      <c r="O560" s="335"/>
      <c r="P560" s="331"/>
      <c r="Q560" s="332"/>
      <c r="W560" s="60"/>
    </row>
    <row r="561" spans="1:23" ht="14.25">
      <c r="A561" s="335"/>
      <c r="B561" s="335"/>
      <c r="C561" s="335"/>
      <c r="D561" s="336"/>
      <c r="E561" s="336"/>
      <c r="F561" s="336"/>
      <c r="G561" s="336"/>
      <c r="H561" s="336"/>
      <c r="I561" s="336"/>
      <c r="J561" s="336"/>
      <c r="K561" s="336"/>
      <c r="L561" s="343"/>
      <c r="M561" s="335"/>
      <c r="N561" s="335"/>
      <c r="O561" s="335"/>
      <c r="P561" s="331"/>
      <c r="Q561" s="332"/>
      <c r="W561" s="60"/>
    </row>
    <row r="562" spans="1:23" ht="14.25">
      <c r="A562" s="335"/>
      <c r="B562" s="335"/>
      <c r="C562" s="335"/>
      <c r="D562" s="336"/>
      <c r="E562" s="336"/>
      <c r="F562" s="336"/>
      <c r="G562" s="336"/>
      <c r="H562" s="336"/>
      <c r="I562" s="336"/>
      <c r="J562" s="336"/>
      <c r="K562" s="336"/>
      <c r="L562" s="343"/>
      <c r="M562" s="335"/>
      <c r="N562" s="335"/>
      <c r="O562" s="335"/>
      <c r="P562" s="331"/>
      <c r="Q562" s="332"/>
      <c r="W562" s="60"/>
    </row>
    <row r="563" spans="1:23" ht="14.25">
      <c r="A563" s="335"/>
      <c r="B563" s="335"/>
      <c r="C563" s="335"/>
      <c r="D563" s="336"/>
      <c r="E563" s="336"/>
      <c r="F563" s="336"/>
      <c r="G563" s="336"/>
      <c r="H563" s="336"/>
      <c r="I563" s="336"/>
      <c r="J563" s="336"/>
      <c r="K563" s="336"/>
      <c r="L563" s="343"/>
      <c r="M563" s="335"/>
      <c r="N563" s="335"/>
      <c r="O563" s="335"/>
      <c r="P563" s="331"/>
      <c r="Q563" s="332"/>
      <c r="W563" s="60"/>
    </row>
    <row r="564" spans="1:23" ht="14.25">
      <c r="A564" s="335"/>
      <c r="B564" s="335"/>
      <c r="C564" s="335"/>
      <c r="D564" s="336"/>
      <c r="E564" s="336"/>
      <c r="F564" s="336"/>
      <c r="G564" s="336"/>
      <c r="H564" s="336"/>
      <c r="I564" s="336"/>
      <c r="J564" s="336"/>
      <c r="K564" s="336"/>
      <c r="L564" s="343"/>
      <c r="M564" s="335"/>
      <c r="N564" s="335"/>
      <c r="O564" s="335"/>
      <c r="P564" s="331"/>
      <c r="Q564" s="332"/>
      <c r="W564" s="60"/>
    </row>
    <row r="565" spans="1:23" ht="14.25">
      <c r="A565" s="335"/>
      <c r="B565" s="335"/>
      <c r="C565" s="335"/>
      <c r="D565" s="336"/>
      <c r="E565" s="336"/>
      <c r="F565" s="336"/>
      <c r="G565" s="336"/>
      <c r="H565" s="336"/>
      <c r="I565" s="336"/>
      <c r="J565" s="336"/>
      <c r="K565" s="336"/>
      <c r="L565" s="343"/>
      <c r="M565" s="335"/>
      <c r="N565" s="335"/>
      <c r="O565" s="335"/>
      <c r="P565" s="331"/>
      <c r="Q565" s="332"/>
      <c r="W565" s="60"/>
    </row>
    <row r="566" spans="1:23" ht="14.25">
      <c r="A566" s="335"/>
      <c r="B566" s="335"/>
      <c r="C566" s="335"/>
      <c r="D566" s="336"/>
      <c r="E566" s="336"/>
      <c r="F566" s="336"/>
      <c r="G566" s="336"/>
      <c r="H566" s="336"/>
      <c r="I566" s="336"/>
      <c r="J566" s="336"/>
      <c r="K566" s="336"/>
      <c r="L566" s="343"/>
      <c r="M566" s="335"/>
      <c r="N566" s="335"/>
      <c r="O566" s="335"/>
      <c r="P566" s="331"/>
      <c r="Q566" s="332"/>
      <c r="W566" s="60"/>
    </row>
    <row r="567" spans="1:23" ht="14.25">
      <c r="A567" s="335"/>
      <c r="B567" s="335"/>
      <c r="C567" s="335"/>
      <c r="D567" s="336"/>
      <c r="E567" s="336"/>
      <c r="F567" s="336"/>
      <c r="G567" s="336"/>
      <c r="H567" s="336"/>
      <c r="I567" s="336"/>
      <c r="J567" s="336"/>
      <c r="K567" s="336"/>
      <c r="L567" s="343"/>
      <c r="M567" s="335"/>
      <c r="N567" s="335"/>
      <c r="O567" s="335"/>
      <c r="P567" s="331"/>
      <c r="Q567" s="332"/>
      <c r="W567" s="60"/>
    </row>
    <row r="568" spans="1:23" ht="14.25">
      <c r="A568" s="335"/>
      <c r="B568" s="335"/>
      <c r="C568" s="335"/>
      <c r="D568" s="336"/>
      <c r="E568" s="336"/>
      <c r="F568" s="336"/>
      <c r="G568" s="336"/>
      <c r="H568" s="336"/>
      <c r="I568" s="336"/>
      <c r="J568" s="336"/>
      <c r="K568" s="336"/>
      <c r="L568" s="343"/>
      <c r="M568" s="335"/>
      <c r="N568" s="335"/>
      <c r="O568" s="335"/>
      <c r="P568" s="331"/>
      <c r="Q568" s="332"/>
      <c r="W568" s="60"/>
    </row>
    <row r="569" spans="1:23" ht="14.25">
      <c r="A569" s="335"/>
      <c r="B569" s="335"/>
      <c r="C569" s="335"/>
      <c r="D569" s="336"/>
      <c r="E569" s="336"/>
      <c r="F569" s="336"/>
      <c r="G569" s="336"/>
      <c r="H569" s="336"/>
      <c r="I569" s="336"/>
      <c r="J569" s="336"/>
      <c r="K569" s="336"/>
      <c r="L569" s="343"/>
      <c r="M569" s="335"/>
      <c r="N569" s="335"/>
      <c r="O569" s="335"/>
      <c r="P569" s="331"/>
      <c r="Q569" s="332"/>
      <c r="W569" s="60"/>
    </row>
    <row r="570" spans="1:23" ht="14.25">
      <c r="A570" s="335"/>
      <c r="B570" s="335"/>
      <c r="C570" s="335"/>
      <c r="D570" s="336"/>
      <c r="E570" s="336"/>
      <c r="F570" s="336"/>
      <c r="G570" s="336"/>
      <c r="H570" s="336"/>
      <c r="I570" s="336"/>
      <c r="J570" s="336"/>
      <c r="K570" s="336"/>
      <c r="L570" s="343"/>
      <c r="M570" s="335"/>
      <c r="N570" s="335"/>
      <c r="O570" s="335"/>
      <c r="P570" s="331"/>
      <c r="Q570" s="332"/>
      <c r="W570" s="60"/>
    </row>
    <row r="571" spans="1:23" ht="14.25">
      <c r="A571" s="335"/>
      <c r="B571" s="335"/>
      <c r="C571" s="335"/>
      <c r="D571" s="336"/>
      <c r="E571" s="336"/>
      <c r="F571" s="336"/>
      <c r="G571" s="336"/>
      <c r="H571" s="336"/>
      <c r="I571" s="336"/>
      <c r="J571" s="336"/>
      <c r="K571" s="336"/>
      <c r="L571" s="343"/>
      <c r="M571" s="335"/>
      <c r="N571" s="335"/>
      <c r="O571" s="335"/>
      <c r="P571" s="331"/>
      <c r="Q571" s="332"/>
      <c r="W571" s="60"/>
    </row>
    <row r="572" spans="1:23" ht="14.25">
      <c r="A572" s="335"/>
      <c r="B572" s="335"/>
      <c r="C572" s="335"/>
      <c r="D572" s="336"/>
      <c r="E572" s="336"/>
      <c r="F572" s="336"/>
      <c r="G572" s="336"/>
      <c r="H572" s="336"/>
      <c r="I572" s="336"/>
      <c r="J572" s="336"/>
      <c r="K572" s="336"/>
      <c r="L572" s="343"/>
      <c r="M572" s="335"/>
      <c r="N572" s="335"/>
      <c r="O572" s="335"/>
      <c r="P572" s="331"/>
      <c r="Q572" s="332"/>
      <c r="W572" s="60"/>
    </row>
    <row r="573" spans="1:23" ht="14.25">
      <c r="A573" s="335"/>
      <c r="B573" s="335"/>
      <c r="C573" s="335"/>
      <c r="D573" s="336"/>
      <c r="E573" s="336"/>
      <c r="F573" s="336"/>
      <c r="G573" s="336"/>
      <c r="H573" s="336"/>
      <c r="I573" s="336"/>
      <c r="J573" s="336"/>
      <c r="K573" s="336"/>
      <c r="L573" s="343"/>
      <c r="M573" s="335"/>
      <c r="N573" s="335"/>
      <c r="O573" s="335"/>
      <c r="P573" s="331"/>
      <c r="Q573" s="332"/>
      <c r="W573" s="60"/>
    </row>
    <row r="574" spans="1:23" ht="14.25">
      <c r="A574" s="335"/>
      <c r="B574" s="335"/>
      <c r="C574" s="335"/>
      <c r="D574" s="336"/>
      <c r="E574" s="336"/>
      <c r="F574" s="336"/>
      <c r="G574" s="336"/>
      <c r="H574" s="336"/>
      <c r="I574" s="336"/>
      <c r="J574" s="336"/>
      <c r="K574" s="336"/>
      <c r="L574" s="343"/>
      <c r="M574" s="335"/>
      <c r="N574" s="335"/>
      <c r="O574" s="335"/>
      <c r="P574" s="331"/>
      <c r="Q574" s="332"/>
      <c r="W574" s="60"/>
    </row>
    <row r="575" spans="1:23" ht="14.25">
      <c r="A575" s="335"/>
      <c r="B575" s="335"/>
      <c r="C575" s="335"/>
      <c r="D575" s="336"/>
      <c r="E575" s="336"/>
      <c r="F575" s="336"/>
      <c r="G575" s="336"/>
      <c r="H575" s="336"/>
      <c r="I575" s="336"/>
      <c r="J575" s="336"/>
      <c r="K575" s="336"/>
      <c r="L575" s="343"/>
      <c r="M575" s="335"/>
      <c r="N575" s="335"/>
      <c r="O575" s="335"/>
      <c r="P575" s="331"/>
      <c r="Q575" s="332"/>
      <c r="W575" s="60"/>
    </row>
    <row r="576" spans="1:23" ht="14.25">
      <c r="A576" s="335"/>
      <c r="B576" s="335"/>
      <c r="C576" s="335"/>
      <c r="D576" s="336"/>
      <c r="E576" s="336"/>
      <c r="F576" s="336"/>
      <c r="G576" s="336"/>
      <c r="H576" s="336"/>
      <c r="I576" s="336"/>
      <c r="J576" s="336"/>
      <c r="K576" s="336"/>
      <c r="L576" s="343"/>
      <c r="M576" s="335"/>
      <c r="N576" s="335"/>
      <c r="O576" s="335"/>
      <c r="P576" s="331"/>
      <c r="Q576" s="332"/>
      <c r="W576" s="60"/>
    </row>
    <row r="577" spans="1:23" ht="14.25">
      <c r="A577" s="335"/>
      <c r="B577" s="335"/>
      <c r="C577" s="335"/>
      <c r="D577" s="336"/>
      <c r="E577" s="336"/>
      <c r="F577" s="336"/>
      <c r="G577" s="336"/>
      <c r="H577" s="336"/>
      <c r="I577" s="336"/>
      <c r="J577" s="336"/>
      <c r="K577" s="336"/>
      <c r="L577" s="343"/>
      <c r="M577" s="335"/>
      <c r="N577" s="335"/>
      <c r="O577" s="335"/>
      <c r="P577" s="331"/>
      <c r="Q577" s="332"/>
      <c r="W577" s="60"/>
    </row>
    <row r="578" spans="1:23" ht="14.25">
      <c r="A578" s="335"/>
      <c r="B578" s="335"/>
      <c r="C578" s="335"/>
      <c r="D578" s="336"/>
      <c r="E578" s="336"/>
      <c r="F578" s="336"/>
      <c r="G578" s="336"/>
      <c r="H578" s="336"/>
      <c r="I578" s="336"/>
      <c r="J578" s="336"/>
      <c r="K578" s="336"/>
      <c r="L578" s="343"/>
      <c r="M578" s="335"/>
      <c r="N578" s="335"/>
      <c r="O578" s="335"/>
      <c r="P578" s="331"/>
      <c r="Q578" s="332"/>
      <c r="W578" s="60"/>
    </row>
    <row r="579" spans="1:23" ht="14.25">
      <c r="A579" s="335"/>
      <c r="B579" s="335"/>
      <c r="C579" s="335"/>
      <c r="D579" s="336"/>
      <c r="E579" s="336"/>
      <c r="F579" s="336"/>
      <c r="G579" s="336"/>
      <c r="H579" s="336"/>
      <c r="I579" s="336"/>
      <c r="J579" s="336"/>
      <c r="K579" s="336"/>
      <c r="L579" s="343"/>
      <c r="M579" s="335"/>
      <c r="N579" s="335"/>
      <c r="O579" s="335"/>
      <c r="P579" s="331"/>
      <c r="Q579" s="332"/>
      <c r="W579" s="60"/>
    </row>
    <row r="580" spans="1:23" ht="14.25">
      <c r="A580" s="335"/>
      <c r="B580" s="335"/>
      <c r="C580" s="335"/>
      <c r="D580" s="336"/>
      <c r="E580" s="336"/>
      <c r="F580" s="336"/>
      <c r="G580" s="336"/>
      <c r="H580" s="336"/>
      <c r="I580" s="336"/>
      <c r="J580" s="336"/>
      <c r="K580" s="336"/>
      <c r="L580" s="343"/>
      <c r="M580" s="335"/>
      <c r="N580" s="335"/>
      <c r="O580" s="335"/>
      <c r="P580" s="331"/>
      <c r="Q580" s="332"/>
      <c r="W580" s="60"/>
    </row>
    <row r="581" spans="1:23" ht="14.25">
      <c r="A581" s="335"/>
      <c r="B581" s="335"/>
      <c r="C581" s="335"/>
      <c r="D581" s="336"/>
      <c r="E581" s="336"/>
      <c r="F581" s="336"/>
      <c r="G581" s="336"/>
      <c r="H581" s="336"/>
      <c r="I581" s="336"/>
      <c r="J581" s="336"/>
      <c r="K581" s="336"/>
      <c r="L581" s="343"/>
      <c r="M581" s="335"/>
      <c r="N581" s="335"/>
      <c r="O581" s="335"/>
      <c r="P581" s="331"/>
      <c r="Q581" s="332"/>
      <c r="W581" s="60"/>
    </row>
    <row r="582" spans="1:23" ht="14.25">
      <c r="A582" s="335"/>
      <c r="B582" s="335"/>
      <c r="C582" s="335"/>
      <c r="D582" s="336"/>
      <c r="E582" s="336"/>
      <c r="F582" s="336"/>
      <c r="G582" s="336"/>
      <c r="H582" s="336"/>
      <c r="I582" s="336"/>
      <c r="J582" s="336"/>
      <c r="K582" s="336"/>
      <c r="L582" s="343"/>
      <c r="M582" s="335"/>
      <c r="N582" s="335"/>
      <c r="O582" s="335"/>
      <c r="P582" s="331"/>
      <c r="Q582" s="332"/>
      <c r="W582" s="60"/>
    </row>
    <row r="583" spans="1:23" ht="14.25">
      <c r="A583" s="335"/>
      <c r="B583" s="335"/>
      <c r="C583" s="335"/>
      <c r="D583" s="336"/>
      <c r="E583" s="336"/>
      <c r="F583" s="336"/>
      <c r="G583" s="336"/>
      <c r="H583" s="336"/>
      <c r="I583" s="336"/>
      <c r="J583" s="336"/>
      <c r="K583" s="336"/>
      <c r="L583" s="343"/>
      <c r="M583" s="335"/>
      <c r="N583" s="335"/>
      <c r="O583" s="335"/>
      <c r="P583" s="331"/>
      <c r="Q583" s="332"/>
      <c r="W583" s="60"/>
    </row>
    <row r="584" spans="1:23" ht="14.25">
      <c r="A584" s="335"/>
      <c r="B584" s="335"/>
      <c r="C584" s="335"/>
      <c r="D584" s="336"/>
      <c r="E584" s="336"/>
      <c r="F584" s="336"/>
      <c r="G584" s="336"/>
      <c r="H584" s="336"/>
      <c r="I584" s="336"/>
      <c r="J584" s="336"/>
      <c r="K584" s="336"/>
      <c r="L584" s="343"/>
      <c r="M584" s="335"/>
      <c r="N584" s="335"/>
      <c r="O584" s="335"/>
      <c r="P584" s="331"/>
      <c r="Q584" s="332"/>
      <c r="W584" s="60"/>
    </row>
    <row r="585" spans="1:23" ht="14.25">
      <c r="A585" s="335"/>
      <c r="B585" s="335"/>
      <c r="C585" s="335"/>
      <c r="D585" s="336"/>
      <c r="E585" s="336"/>
      <c r="F585" s="336"/>
      <c r="G585" s="336"/>
      <c r="H585" s="336"/>
      <c r="I585" s="336"/>
      <c r="J585" s="336"/>
      <c r="K585" s="336"/>
      <c r="L585" s="343"/>
      <c r="M585" s="335"/>
      <c r="N585" s="335"/>
      <c r="O585" s="335"/>
      <c r="P585" s="331"/>
      <c r="Q585" s="332"/>
      <c r="W585" s="60"/>
    </row>
    <row r="586" spans="1:23" ht="14.25">
      <c r="A586" s="335"/>
      <c r="B586" s="335"/>
      <c r="C586" s="335"/>
      <c r="D586" s="336"/>
      <c r="E586" s="336"/>
      <c r="F586" s="336"/>
      <c r="G586" s="336"/>
      <c r="H586" s="336"/>
      <c r="I586" s="336"/>
      <c r="J586" s="336"/>
      <c r="K586" s="336"/>
      <c r="L586" s="343"/>
      <c r="M586" s="335"/>
      <c r="N586" s="335"/>
      <c r="O586" s="335"/>
      <c r="P586" s="331"/>
      <c r="Q586" s="332"/>
      <c r="W586" s="60"/>
    </row>
    <row r="587" spans="1:23" ht="14.25">
      <c r="A587" s="335"/>
      <c r="B587" s="335"/>
      <c r="C587" s="335"/>
      <c r="D587" s="336"/>
      <c r="E587" s="336"/>
      <c r="F587" s="336"/>
      <c r="G587" s="336"/>
      <c r="H587" s="336"/>
      <c r="I587" s="336"/>
      <c r="J587" s="336"/>
      <c r="K587" s="336"/>
      <c r="L587" s="343"/>
      <c r="M587" s="335"/>
      <c r="N587" s="335"/>
      <c r="O587" s="335"/>
      <c r="P587" s="331"/>
      <c r="Q587" s="332"/>
      <c r="W587" s="60"/>
    </row>
    <row r="588" spans="1:23" ht="14.25">
      <c r="A588" s="335"/>
      <c r="B588" s="335"/>
      <c r="C588" s="335"/>
      <c r="D588" s="336"/>
      <c r="E588" s="336"/>
      <c r="F588" s="336"/>
      <c r="G588" s="336"/>
      <c r="H588" s="336"/>
      <c r="I588" s="336"/>
      <c r="J588" s="336"/>
      <c r="K588" s="336"/>
      <c r="L588" s="343"/>
      <c r="M588" s="335"/>
      <c r="N588" s="335"/>
      <c r="O588" s="335"/>
      <c r="P588" s="331"/>
      <c r="Q588" s="332"/>
      <c r="W588" s="60"/>
    </row>
    <row r="589" spans="1:23" ht="14.25">
      <c r="A589" s="335"/>
      <c r="B589" s="335"/>
      <c r="C589" s="335"/>
      <c r="D589" s="336"/>
      <c r="E589" s="336"/>
      <c r="F589" s="336"/>
      <c r="G589" s="336"/>
      <c r="H589" s="336"/>
      <c r="I589" s="336"/>
      <c r="J589" s="336"/>
      <c r="K589" s="336"/>
      <c r="L589" s="343"/>
      <c r="M589" s="335"/>
      <c r="N589" s="335"/>
      <c r="O589" s="335"/>
      <c r="P589" s="331"/>
      <c r="Q589" s="332"/>
      <c r="W589" s="60"/>
    </row>
    <row r="590" spans="1:23" ht="14.25">
      <c r="A590" s="335"/>
      <c r="B590" s="335"/>
      <c r="C590" s="335"/>
      <c r="D590" s="336"/>
      <c r="E590" s="336"/>
      <c r="F590" s="336"/>
      <c r="G590" s="336"/>
      <c r="H590" s="336"/>
      <c r="I590" s="336"/>
      <c r="J590" s="336"/>
      <c r="K590" s="336"/>
      <c r="L590" s="343"/>
      <c r="M590" s="335"/>
      <c r="N590" s="335"/>
      <c r="O590" s="335"/>
      <c r="P590" s="331"/>
      <c r="Q590" s="332"/>
      <c r="W590" s="60"/>
    </row>
    <row r="591" spans="1:23" ht="14.25">
      <c r="A591" s="335"/>
      <c r="B591" s="335"/>
      <c r="C591" s="335"/>
      <c r="D591" s="336"/>
      <c r="E591" s="336"/>
      <c r="F591" s="336"/>
      <c r="G591" s="336"/>
      <c r="H591" s="336"/>
      <c r="I591" s="336"/>
      <c r="J591" s="336"/>
      <c r="K591" s="336"/>
      <c r="L591" s="343"/>
      <c r="M591" s="335"/>
      <c r="N591" s="335"/>
      <c r="O591" s="335"/>
      <c r="P591" s="331"/>
      <c r="Q591" s="332"/>
      <c r="W591" s="60"/>
    </row>
    <row r="592" spans="1:23" ht="14.25">
      <c r="A592" s="335"/>
      <c r="B592" s="335"/>
      <c r="C592" s="335"/>
      <c r="D592" s="336"/>
      <c r="E592" s="336"/>
      <c r="F592" s="336"/>
      <c r="G592" s="336"/>
      <c r="H592" s="336"/>
      <c r="I592" s="336"/>
      <c r="J592" s="336"/>
      <c r="K592" s="336"/>
      <c r="L592" s="343"/>
      <c r="M592" s="335"/>
      <c r="N592" s="335"/>
      <c r="O592" s="335"/>
      <c r="P592" s="331"/>
      <c r="Q592" s="332"/>
      <c r="W592" s="60"/>
    </row>
    <row r="593" spans="1:23" ht="14.25">
      <c r="A593" s="335"/>
      <c r="B593" s="335"/>
      <c r="C593" s="335"/>
      <c r="D593" s="336"/>
      <c r="E593" s="336"/>
      <c r="F593" s="336"/>
      <c r="G593" s="336"/>
      <c r="H593" s="336"/>
      <c r="I593" s="336"/>
      <c r="J593" s="336"/>
      <c r="K593" s="336"/>
      <c r="L593" s="343"/>
      <c r="M593" s="335"/>
      <c r="N593" s="335"/>
      <c r="O593" s="335"/>
      <c r="P593" s="331"/>
      <c r="Q593" s="332"/>
      <c r="W593" s="60"/>
    </row>
    <row r="594" spans="1:23" ht="14.25">
      <c r="A594" s="335"/>
      <c r="B594" s="335"/>
      <c r="C594" s="335"/>
      <c r="D594" s="336"/>
      <c r="E594" s="336"/>
      <c r="F594" s="336"/>
      <c r="G594" s="336"/>
      <c r="H594" s="336"/>
      <c r="I594" s="336"/>
      <c r="J594" s="336"/>
      <c r="K594" s="336"/>
      <c r="L594" s="343"/>
      <c r="M594" s="335"/>
      <c r="N594" s="335"/>
      <c r="O594" s="335"/>
      <c r="P594" s="331"/>
      <c r="Q594" s="332"/>
      <c r="W594" s="60"/>
    </row>
    <row r="595" spans="1:23" ht="14.25">
      <c r="A595" s="335"/>
      <c r="B595" s="335"/>
      <c r="C595" s="335"/>
      <c r="D595" s="336"/>
      <c r="E595" s="336"/>
      <c r="F595" s="336"/>
      <c r="G595" s="336"/>
      <c r="H595" s="336"/>
      <c r="I595" s="336"/>
      <c r="J595" s="336"/>
      <c r="K595" s="336"/>
      <c r="L595" s="343"/>
      <c r="M595" s="335"/>
      <c r="N595" s="335"/>
      <c r="O595" s="335"/>
      <c r="P595" s="331"/>
      <c r="Q595" s="332"/>
      <c r="W595" s="60"/>
    </row>
    <row r="596" spans="1:23" ht="14.25">
      <c r="A596" s="335"/>
      <c r="B596" s="335"/>
      <c r="C596" s="335"/>
      <c r="D596" s="336"/>
      <c r="E596" s="336"/>
      <c r="F596" s="336"/>
      <c r="G596" s="336"/>
      <c r="H596" s="336"/>
      <c r="I596" s="336"/>
      <c r="J596" s="336"/>
      <c r="K596" s="336"/>
      <c r="L596" s="343"/>
      <c r="M596" s="335"/>
      <c r="N596" s="335"/>
      <c r="O596" s="335"/>
      <c r="P596" s="331"/>
      <c r="Q596" s="332"/>
      <c r="W596" s="60"/>
    </row>
    <row r="597" spans="1:23" ht="14.25">
      <c r="A597" s="335"/>
      <c r="B597" s="335"/>
      <c r="C597" s="335"/>
      <c r="D597" s="336"/>
      <c r="E597" s="336"/>
      <c r="F597" s="336"/>
      <c r="G597" s="336"/>
      <c r="H597" s="336"/>
      <c r="I597" s="336"/>
      <c r="J597" s="336"/>
      <c r="K597" s="336"/>
      <c r="L597" s="343"/>
      <c r="M597" s="335"/>
      <c r="N597" s="335"/>
      <c r="O597" s="335"/>
      <c r="P597" s="331"/>
      <c r="Q597" s="332"/>
      <c r="W597" s="60"/>
    </row>
    <row r="598" spans="1:23" ht="14.25">
      <c r="A598" s="335"/>
      <c r="B598" s="335"/>
      <c r="C598" s="335"/>
      <c r="D598" s="336"/>
      <c r="E598" s="336"/>
      <c r="F598" s="336"/>
      <c r="G598" s="336"/>
      <c r="H598" s="336"/>
      <c r="I598" s="336"/>
      <c r="J598" s="336"/>
      <c r="K598" s="336"/>
      <c r="L598" s="343"/>
      <c r="M598" s="335"/>
      <c r="N598" s="335"/>
      <c r="O598" s="335"/>
      <c r="P598" s="331"/>
      <c r="Q598" s="332"/>
      <c r="W598" s="60"/>
    </row>
    <row r="599" spans="1:23" ht="14.25">
      <c r="A599" s="335"/>
      <c r="B599" s="335"/>
      <c r="C599" s="335"/>
      <c r="D599" s="336"/>
      <c r="E599" s="336"/>
      <c r="F599" s="336"/>
      <c r="G599" s="336"/>
      <c r="H599" s="336"/>
      <c r="I599" s="336"/>
      <c r="J599" s="336"/>
      <c r="K599" s="336"/>
      <c r="L599" s="343"/>
      <c r="M599" s="335"/>
      <c r="N599" s="335"/>
      <c r="O599" s="335"/>
      <c r="P599" s="331"/>
      <c r="Q599" s="332"/>
      <c r="W599" s="60"/>
    </row>
    <row r="600" spans="1:23" ht="14.25">
      <c r="A600" s="335"/>
      <c r="B600" s="335"/>
      <c r="C600" s="335"/>
      <c r="D600" s="336"/>
      <c r="E600" s="336"/>
      <c r="F600" s="336"/>
      <c r="G600" s="336"/>
      <c r="H600" s="336"/>
      <c r="I600" s="336"/>
      <c r="J600" s="336"/>
      <c r="K600" s="336"/>
      <c r="L600" s="343"/>
      <c r="M600" s="335"/>
      <c r="N600" s="335"/>
      <c r="O600" s="335"/>
      <c r="P600" s="331"/>
      <c r="Q600" s="332"/>
      <c r="W600" s="60"/>
    </row>
    <row r="601" spans="1:23" ht="14.25">
      <c r="A601" s="335"/>
      <c r="B601" s="335"/>
      <c r="C601" s="335"/>
      <c r="D601" s="336"/>
      <c r="E601" s="336"/>
      <c r="F601" s="336"/>
      <c r="G601" s="336"/>
      <c r="H601" s="336"/>
      <c r="I601" s="336"/>
      <c r="J601" s="336"/>
      <c r="K601" s="336"/>
      <c r="L601" s="343"/>
      <c r="M601" s="335"/>
      <c r="N601" s="335"/>
      <c r="O601" s="335"/>
      <c r="P601" s="331"/>
      <c r="Q601" s="332"/>
      <c r="W601" s="60"/>
    </row>
    <row r="602" spans="1:23" ht="14.25">
      <c r="A602" s="335"/>
      <c r="B602" s="335"/>
      <c r="C602" s="335"/>
      <c r="D602" s="336"/>
      <c r="E602" s="336"/>
      <c r="F602" s="336"/>
      <c r="G602" s="336"/>
      <c r="H602" s="336"/>
      <c r="I602" s="336"/>
      <c r="J602" s="336"/>
      <c r="K602" s="336"/>
      <c r="L602" s="343"/>
      <c r="M602" s="335"/>
      <c r="N602" s="335"/>
      <c r="O602" s="335"/>
      <c r="P602" s="331"/>
      <c r="Q602" s="332"/>
      <c r="W602" s="60"/>
    </row>
    <row r="603" spans="1:23" ht="14.25">
      <c r="A603" s="335"/>
      <c r="B603" s="335"/>
      <c r="C603" s="335"/>
      <c r="D603" s="336"/>
      <c r="E603" s="336"/>
      <c r="F603" s="336"/>
      <c r="G603" s="336"/>
      <c r="H603" s="336"/>
      <c r="I603" s="336"/>
      <c r="J603" s="336"/>
      <c r="K603" s="336"/>
      <c r="L603" s="343"/>
      <c r="M603" s="335"/>
      <c r="N603" s="335"/>
      <c r="O603" s="335"/>
      <c r="P603" s="331"/>
      <c r="Q603" s="332"/>
      <c r="W603" s="60"/>
    </row>
    <row r="604" spans="1:23" ht="14.25">
      <c r="A604" s="335"/>
      <c r="B604" s="335"/>
      <c r="C604" s="335"/>
      <c r="D604" s="336"/>
      <c r="E604" s="336"/>
      <c r="F604" s="336"/>
      <c r="G604" s="336"/>
      <c r="H604" s="336"/>
      <c r="I604" s="336"/>
      <c r="J604" s="336"/>
      <c r="K604" s="336"/>
      <c r="L604" s="343"/>
      <c r="M604" s="335"/>
      <c r="N604" s="335"/>
      <c r="O604" s="335"/>
      <c r="P604" s="331"/>
      <c r="Q604" s="332"/>
      <c r="W604" s="60"/>
    </row>
    <row r="605" spans="1:23" ht="14.25">
      <c r="A605" s="335"/>
      <c r="B605" s="335"/>
      <c r="C605" s="335"/>
      <c r="D605" s="336"/>
      <c r="E605" s="336"/>
      <c r="F605" s="336"/>
      <c r="G605" s="336"/>
      <c r="H605" s="336"/>
      <c r="I605" s="336"/>
      <c r="J605" s="336"/>
      <c r="K605" s="336"/>
      <c r="L605" s="343"/>
      <c r="M605" s="335"/>
      <c r="N605" s="335"/>
      <c r="O605" s="335"/>
      <c r="P605" s="331"/>
      <c r="Q605" s="332"/>
      <c r="W605" s="60"/>
    </row>
    <row r="606" spans="1:23" ht="14.25">
      <c r="A606" s="335"/>
      <c r="B606" s="335"/>
      <c r="C606" s="335"/>
      <c r="D606" s="336"/>
      <c r="E606" s="336"/>
      <c r="F606" s="336"/>
      <c r="G606" s="336"/>
      <c r="H606" s="336"/>
      <c r="I606" s="336"/>
      <c r="J606" s="336"/>
      <c r="K606" s="336"/>
      <c r="L606" s="343"/>
      <c r="M606" s="335"/>
      <c r="N606" s="335"/>
      <c r="O606" s="335"/>
      <c r="P606" s="331"/>
      <c r="Q606" s="332"/>
      <c r="W606" s="60"/>
    </row>
    <row r="607" spans="1:23" ht="14.25">
      <c r="A607" s="335"/>
      <c r="B607" s="335"/>
      <c r="C607" s="335"/>
      <c r="D607" s="336"/>
      <c r="E607" s="336"/>
      <c r="F607" s="336"/>
      <c r="G607" s="336"/>
      <c r="H607" s="336"/>
      <c r="I607" s="336"/>
      <c r="J607" s="336"/>
      <c r="K607" s="336"/>
      <c r="L607" s="343"/>
      <c r="M607" s="335"/>
      <c r="N607" s="335"/>
      <c r="O607" s="335"/>
      <c r="P607" s="331"/>
      <c r="Q607" s="332"/>
      <c r="W607" s="60"/>
    </row>
    <row r="608" spans="1:23" ht="14.25">
      <c r="A608" s="335"/>
      <c r="B608" s="335"/>
      <c r="C608" s="335"/>
      <c r="D608" s="336"/>
      <c r="E608" s="336"/>
      <c r="F608" s="336"/>
      <c r="G608" s="336"/>
      <c r="H608" s="336"/>
      <c r="I608" s="336"/>
      <c r="J608" s="336"/>
      <c r="K608" s="336"/>
      <c r="L608" s="343"/>
      <c r="M608" s="335"/>
      <c r="N608" s="335"/>
      <c r="O608" s="335"/>
      <c r="P608" s="331"/>
      <c r="Q608" s="332"/>
      <c r="W608" s="60"/>
    </row>
    <row r="609" spans="1:23" ht="14.25">
      <c r="A609" s="335"/>
      <c r="B609" s="335"/>
      <c r="C609" s="335"/>
      <c r="D609" s="336"/>
      <c r="E609" s="336"/>
      <c r="F609" s="336"/>
      <c r="G609" s="336"/>
      <c r="H609" s="336"/>
      <c r="I609" s="336"/>
      <c r="J609" s="336"/>
      <c r="K609" s="336"/>
      <c r="L609" s="343"/>
      <c r="M609" s="335"/>
      <c r="N609" s="335"/>
      <c r="O609" s="335"/>
      <c r="P609" s="331"/>
      <c r="Q609" s="332"/>
      <c r="W609" s="60"/>
    </row>
    <row r="610" spans="1:23" ht="14.25">
      <c r="A610" s="335"/>
      <c r="B610" s="335"/>
      <c r="C610" s="335"/>
      <c r="D610" s="336"/>
      <c r="E610" s="336"/>
      <c r="F610" s="336"/>
      <c r="G610" s="336"/>
      <c r="H610" s="336"/>
      <c r="I610" s="336"/>
      <c r="J610" s="336"/>
      <c r="K610" s="336"/>
      <c r="L610" s="343"/>
      <c r="M610" s="335"/>
      <c r="N610" s="335"/>
      <c r="O610" s="335"/>
      <c r="P610" s="331"/>
      <c r="Q610" s="332"/>
      <c r="W610" s="60"/>
    </row>
    <row r="611" spans="1:23" ht="14.25">
      <c r="A611" s="335"/>
      <c r="B611" s="335"/>
      <c r="C611" s="335"/>
      <c r="D611" s="336"/>
      <c r="E611" s="336"/>
      <c r="F611" s="336"/>
      <c r="G611" s="336"/>
      <c r="H611" s="336"/>
      <c r="I611" s="336"/>
      <c r="J611" s="336"/>
      <c r="K611" s="336"/>
      <c r="L611" s="343"/>
      <c r="M611" s="335"/>
      <c r="N611" s="335"/>
      <c r="O611" s="335"/>
      <c r="P611" s="331"/>
      <c r="Q611" s="332"/>
      <c r="W611" s="60"/>
    </row>
    <row r="612" spans="1:23" ht="14.25">
      <c r="A612" s="335"/>
      <c r="B612" s="335"/>
      <c r="C612" s="335"/>
      <c r="D612" s="336"/>
      <c r="E612" s="336"/>
      <c r="F612" s="336"/>
      <c r="G612" s="336"/>
      <c r="H612" s="336"/>
      <c r="I612" s="336"/>
      <c r="J612" s="336"/>
      <c r="K612" s="336"/>
      <c r="L612" s="343"/>
      <c r="M612" s="335"/>
      <c r="N612" s="335"/>
      <c r="O612" s="335"/>
      <c r="P612" s="331"/>
      <c r="Q612" s="332"/>
      <c r="W612" s="60"/>
    </row>
    <row r="613" spans="1:23" ht="14.25">
      <c r="A613" s="335"/>
      <c r="B613" s="335"/>
      <c r="C613" s="335"/>
      <c r="D613" s="336"/>
      <c r="E613" s="336"/>
      <c r="F613" s="336"/>
      <c r="G613" s="336"/>
      <c r="H613" s="336"/>
      <c r="I613" s="336"/>
      <c r="J613" s="336"/>
      <c r="K613" s="336"/>
      <c r="L613" s="343"/>
      <c r="M613" s="335"/>
      <c r="N613" s="335"/>
      <c r="O613" s="335"/>
      <c r="P613" s="331"/>
      <c r="Q613" s="332"/>
      <c r="W613" s="60"/>
    </row>
    <row r="614" spans="1:23" ht="14.25">
      <c r="A614" s="335"/>
      <c r="B614" s="335"/>
      <c r="C614" s="335"/>
      <c r="D614" s="336"/>
      <c r="E614" s="336"/>
      <c r="F614" s="336"/>
      <c r="G614" s="336"/>
      <c r="H614" s="336"/>
      <c r="I614" s="336"/>
      <c r="J614" s="336"/>
      <c r="K614" s="336"/>
      <c r="L614" s="343"/>
      <c r="M614" s="335"/>
      <c r="N614" s="335"/>
      <c r="O614" s="335"/>
      <c r="P614" s="331"/>
      <c r="Q614" s="332"/>
      <c r="W614" s="60"/>
    </row>
    <row r="615" spans="1:23" ht="14.25">
      <c r="A615" s="335"/>
      <c r="B615" s="335"/>
      <c r="C615" s="335"/>
      <c r="D615" s="336"/>
      <c r="E615" s="336"/>
      <c r="F615" s="336"/>
      <c r="G615" s="336"/>
      <c r="H615" s="336"/>
      <c r="I615" s="336"/>
      <c r="J615" s="336"/>
      <c r="K615" s="336"/>
      <c r="L615" s="343"/>
      <c r="M615" s="335"/>
      <c r="N615" s="335"/>
      <c r="O615" s="335"/>
      <c r="P615" s="331"/>
      <c r="Q615" s="332"/>
      <c r="W615" s="60"/>
    </row>
    <row r="616" spans="1:23" ht="14.25">
      <c r="A616" s="335"/>
      <c r="B616" s="335"/>
      <c r="C616" s="335"/>
      <c r="D616" s="336"/>
      <c r="E616" s="336"/>
      <c r="F616" s="336"/>
      <c r="G616" s="336"/>
      <c r="H616" s="336"/>
      <c r="I616" s="336"/>
      <c r="J616" s="336"/>
      <c r="K616" s="336"/>
      <c r="L616" s="343"/>
      <c r="M616" s="335"/>
      <c r="N616" s="335"/>
      <c r="O616" s="335"/>
      <c r="P616" s="331"/>
      <c r="Q616" s="332"/>
      <c r="W616" s="60"/>
    </row>
    <row r="617" spans="1:23" ht="14.25">
      <c r="A617" s="335"/>
      <c r="B617" s="335"/>
      <c r="C617" s="335"/>
      <c r="D617" s="336"/>
      <c r="E617" s="336"/>
      <c r="F617" s="336"/>
      <c r="G617" s="336"/>
      <c r="H617" s="336"/>
      <c r="I617" s="336"/>
      <c r="J617" s="336"/>
      <c r="K617" s="336"/>
      <c r="L617" s="343"/>
      <c r="M617" s="335"/>
      <c r="N617" s="335"/>
      <c r="O617" s="335"/>
      <c r="P617" s="331"/>
      <c r="Q617" s="332"/>
      <c r="W617" s="60"/>
    </row>
    <row r="618" spans="1:23" ht="14.25">
      <c r="A618" s="335"/>
      <c r="B618" s="335"/>
      <c r="C618" s="335"/>
      <c r="D618" s="336"/>
      <c r="E618" s="336"/>
      <c r="F618" s="336"/>
      <c r="G618" s="336"/>
      <c r="H618" s="336"/>
      <c r="I618" s="336"/>
      <c r="J618" s="336"/>
      <c r="K618" s="336"/>
      <c r="L618" s="343"/>
      <c r="M618" s="335"/>
      <c r="N618" s="335"/>
      <c r="O618" s="335"/>
      <c r="P618" s="331"/>
      <c r="Q618" s="332"/>
      <c r="W618" s="60"/>
    </row>
    <row r="619" spans="1:23" ht="14.25">
      <c r="A619" s="335"/>
      <c r="B619" s="335"/>
      <c r="C619" s="335"/>
      <c r="D619" s="336"/>
      <c r="E619" s="336"/>
      <c r="F619" s="336"/>
      <c r="G619" s="336"/>
      <c r="H619" s="336"/>
      <c r="I619" s="336"/>
      <c r="J619" s="336"/>
      <c r="K619" s="336"/>
      <c r="L619" s="343"/>
      <c r="M619" s="335"/>
      <c r="N619" s="335"/>
      <c r="O619" s="335"/>
      <c r="P619" s="331"/>
      <c r="Q619" s="332"/>
      <c r="W619" s="60"/>
    </row>
    <row r="620" spans="1:23" ht="14.25">
      <c r="A620" s="335"/>
      <c r="B620" s="335"/>
      <c r="C620" s="335"/>
      <c r="D620" s="336"/>
      <c r="E620" s="336"/>
      <c r="F620" s="336"/>
      <c r="G620" s="336"/>
      <c r="H620" s="336"/>
      <c r="I620" s="336"/>
      <c r="J620" s="336"/>
      <c r="K620" s="336"/>
      <c r="L620" s="343"/>
      <c r="M620" s="335"/>
      <c r="N620" s="335"/>
      <c r="O620" s="335"/>
      <c r="P620" s="331"/>
      <c r="Q620" s="332"/>
      <c r="W620" s="60"/>
    </row>
    <row r="621" spans="1:23" ht="14.25">
      <c r="A621" s="335"/>
      <c r="B621" s="335"/>
      <c r="C621" s="335"/>
      <c r="D621" s="336"/>
      <c r="E621" s="336"/>
      <c r="F621" s="336"/>
      <c r="G621" s="336"/>
      <c r="H621" s="336"/>
      <c r="I621" s="336"/>
      <c r="J621" s="336"/>
      <c r="K621" s="336"/>
      <c r="L621" s="343"/>
      <c r="M621" s="335"/>
      <c r="N621" s="335"/>
      <c r="O621" s="335"/>
      <c r="P621" s="331"/>
      <c r="Q621" s="332"/>
      <c r="W621" s="60"/>
    </row>
    <row r="622" spans="1:23" ht="14.25">
      <c r="A622" s="335"/>
      <c r="B622" s="335"/>
      <c r="C622" s="335"/>
      <c r="D622" s="336"/>
      <c r="E622" s="336"/>
      <c r="F622" s="336"/>
      <c r="G622" s="336"/>
      <c r="H622" s="336"/>
      <c r="I622" s="336"/>
      <c r="J622" s="336"/>
      <c r="K622" s="336"/>
      <c r="L622" s="343"/>
      <c r="M622" s="335"/>
      <c r="N622" s="335"/>
      <c r="O622" s="335"/>
      <c r="P622" s="331"/>
      <c r="Q622" s="332"/>
      <c r="W622" s="60"/>
    </row>
    <row r="623" spans="1:23" ht="14.25">
      <c r="A623" s="335"/>
      <c r="B623" s="335"/>
      <c r="C623" s="335"/>
      <c r="D623" s="336"/>
      <c r="E623" s="336"/>
      <c r="F623" s="336"/>
      <c r="G623" s="336"/>
      <c r="H623" s="336"/>
      <c r="I623" s="336"/>
      <c r="J623" s="336"/>
      <c r="K623" s="336"/>
      <c r="L623" s="343"/>
      <c r="M623" s="335"/>
      <c r="N623" s="335"/>
      <c r="O623" s="335"/>
      <c r="P623" s="331"/>
      <c r="Q623" s="332"/>
      <c r="W623" s="60"/>
    </row>
    <row r="624" spans="1:23" ht="14.25">
      <c r="A624" s="335"/>
      <c r="B624" s="335"/>
      <c r="C624" s="335"/>
      <c r="D624" s="336"/>
      <c r="E624" s="336"/>
      <c r="F624" s="336"/>
      <c r="G624" s="336"/>
      <c r="H624" s="336"/>
      <c r="I624" s="336"/>
      <c r="J624" s="336"/>
      <c r="K624" s="336"/>
      <c r="L624" s="343"/>
      <c r="M624" s="335"/>
      <c r="N624" s="335"/>
      <c r="O624" s="335"/>
      <c r="P624" s="331"/>
      <c r="Q624" s="332"/>
      <c r="W624" s="60"/>
    </row>
    <row r="625" spans="1:23" ht="14.25">
      <c r="A625" s="335"/>
      <c r="B625" s="335"/>
      <c r="C625" s="335"/>
      <c r="D625" s="336"/>
      <c r="E625" s="336"/>
      <c r="F625" s="336"/>
      <c r="G625" s="336"/>
      <c r="H625" s="336"/>
      <c r="I625" s="336"/>
      <c r="J625" s="336"/>
      <c r="K625" s="336"/>
      <c r="L625" s="343"/>
      <c r="M625" s="335"/>
      <c r="N625" s="335"/>
      <c r="O625" s="335"/>
      <c r="P625" s="331"/>
      <c r="Q625" s="332"/>
      <c r="W625" s="60"/>
    </row>
    <row r="626" spans="1:23" ht="14.25">
      <c r="A626" s="335"/>
      <c r="B626" s="335"/>
      <c r="C626" s="335"/>
      <c r="D626" s="336"/>
      <c r="E626" s="336"/>
      <c r="F626" s="336"/>
      <c r="G626" s="336"/>
      <c r="H626" s="336"/>
      <c r="I626" s="336"/>
      <c r="J626" s="336"/>
      <c r="K626" s="336"/>
      <c r="L626" s="343"/>
      <c r="M626" s="335"/>
      <c r="N626" s="335"/>
      <c r="O626" s="335"/>
      <c r="P626" s="331"/>
      <c r="Q626" s="332"/>
      <c r="W626" s="60"/>
    </row>
    <row r="627" spans="1:23" ht="14.25">
      <c r="A627" s="335"/>
      <c r="B627" s="335"/>
      <c r="C627" s="335"/>
      <c r="D627" s="336"/>
      <c r="E627" s="336"/>
      <c r="F627" s="336"/>
      <c r="G627" s="336"/>
      <c r="H627" s="336"/>
      <c r="I627" s="336"/>
      <c r="J627" s="336"/>
      <c r="K627" s="336"/>
      <c r="L627" s="343"/>
      <c r="M627" s="335"/>
      <c r="N627" s="335"/>
      <c r="O627" s="335"/>
      <c r="P627" s="331"/>
      <c r="Q627" s="332"/>
      <c r="W627" s="60"/>
    </row>
    <row r="628" spans="1:23" ht="14.25">
      <c r="A628" s="335"/>
      <c r="B628" s="335"/>
      <c r="C628" s="335"/>
      <c r="D628" s="336"/>
      <c r="E628" s="336"/>
      <c r="F628" s="336"/>
      <c r="G628" s="336"/>
      <c r="H628" s="336"/>
      <c r="I628" s="336"/>
      <c r="J628" s="336"/>
      <c r="K628" s="336"/>
      <c r="L628" s="343"/>
      <c r="M628" s="335"/>
      <c r="N628" s="335"/>
      <c r="O628" s="335"/>
      <c r="P628" s="331"/>
      <c r="Q628" s="332"/>
      <c r="W628" s="60"/>
    </row>
    <row r="629" spans="1:23" ht="14.25">
      <c r="A629" s="335"/>
      <c r="B629" s="335"/>
      <c r="C629" s="335"/>
      <c r="D629" s="336"/>
      <c r="E629" s="336"/>
      <c r="F629" s="336"/>
      <c r="G629" s="336"/>
      <c r="H629" s="336"/>
      <c r="I629" s="336"/>
      <c r="J629" s="336"/>
      <c r="K629" s="336"/>
      <c r="L629" s="343"/>
      <c r="M629" s="335"/>
      <c r="N629" s="335"/>
      <c r="O629" s="335"/>
      <c r="P629" s="331"/>
      <c r="Q629" s="332"/>
      <c r="W629" s="60"/>
    </row>
    <row r="630" spans="1:23" ht="14.25">
      <c r="A630" s="335"/>
      <c r="B630" s="335"/>
      <c r="C630" s="335"/>
      <c r="D630" s="336"/>
      <c r="E630" s="336"/>
      <c r="F630" s="336"/>
      <c r="G630" s="336"/>
      <c r="H630" s="336"/>
      <c r="I630" s="336"/>
      <c r="J630" s="336"/>
      <c r="K630" s="336"/>
      <c r="L630" s="343"/>
      <c r="M630" s="335"/>
      <c r="N630" s="335"/>
      <c r="O630" s="335"/>
      <c r="P630" s="331"/>
      <c r="Q630" s="332"/>
      <c r="W630" s="60"/>
    </row>
    <row r="631" spans="1:23" ht="14.25">
      <c r="A631" s="335"/>
      <c r="B631" s="335"/>
      <c r="C631" s="335"/>
      <c r="D631" s="336"/>
      <c r="E631" s="336"/>
      <c r="F631" s="336"/>
      <c r="G631" s="336"/>
      <c r="H631" s="336"/>
      <c r="I631" s="336"/>
      <c r="J631" s="336"/>
      <c r="K631" s="336"/>
      <c r="L631" s="343"/>
      <c r="M631" s="335"/>
      <c r="N631" s="335"/>
      <c r="O631" s="335"/>
      <c r="P631" s="331"/>
      <c r="Q631" s="332"/>
      <c r="W631" s="60"/>
    </row>
    <row r="632" spans="1:23" ht="14.25">
      <c r="A632" s="335"/>
      <c r="B632" s="335"/>
      <c r="C632" s="335"/>
      <c r="D632" s="336"/>
      <c r="E632" s="336"/>
      <c r="F632" s="336"/>
      <c r="G632" s="336"/>
      <c r="H632" s="336"/>
      <c r="I632" s="336"/>
      <c r="J632" s="336"/>
      <c r="K632" s="336"/>
      <c r="L632" s="343"/>
      <c r="M632" s="335"/>
      <c r="N632" s="335"/>
      <c r="O632" s="335"/>
      <c r="P632" s="331"/>
      <c r="Q632" s="332"/>
      <c r="W632" s="60"/>
    </row>
    <row r="633" spans="1:23" ht="14.25">
      <c r="A633" s="335"/>
      <c r="B633" s="335"/>
      <c r="C633" s="335"/>
      <c r="D633" s="336"/>
      <c r="E633" s="336"/>
      <c r="F633" s="336"/>
      <c r="G633" s="336"/>
      <c r="H633" s="336"/>
      <c r="I633" s="336"/>
      <c r="J633" s="336"/>
      <c r="K633" s="336"/>
      <c r="L633" s="343"/>
      <c r="M633" s="335"/>
      <c r="N633" s="335"/>
      <c r="O633" s="335"/>
      <c r="P633" s="331"/>
      <c r="Q633" s="332"/>
      <c r="W633" s="60"/>
    </row>
    <row r="634" spans="1:23" ht="14.25">
      <c r="A634" s="335"/>
      <c r="B634" s="335"/>
      <c r="C634" s="335"/>
      <c r="D634" s="336"/>
      <c r="E634" s="336"/>
      <c r="F634" s="336"/>
      <c r="G634" s="336"/>
      <c r="H634" s="336"/>
      <c r="I634" s="336"/>
      <c r="J634" s="336"/>
      <c r="K634" s="336"/>
      <c r="L634" s="343"/>
      <c r="M634" s="335"/>
      <c r="N634" s="335"/>
      <c r="O634" s="335"/>
      <c r="P634" s="331"/>
      <c r="Q634" s="332"/>
      <c r="W634" s="60"/>
    </row>
    <row r="635" spans="1:23" ht="14.25">
      <c r="A635" s="335"/>
      <c r="B635" s="335"/>
      <c r="C635" s="335"/>
      <c r="D635" s="336"/>
      <c r="E635" s="336"/>
      <c r="F635" s="336"/>
      <c r="G635" s="336"/>
      <c r="H635" s="336"/>
      <c r="I635" s="336"/>
      <c r="J635" s="336"/>
      <c r="K635" s="336"/>
      <c r="L635" s="343"/>
      <c r="M635" s="335"/>
      <c r="N635" s="335"/>
      <c r="O635" s="335"/>
      <c r="P635" s="331"/>
      <c r="Q635" s="332"/>
      <c r="W635" s="60"/>
    </row>
    <row r="636" spans="1:23" ht="14.25">
      <c r="A636" s="335"/>
      <c r="B636" s="335"/>
      <c r="C636" s="335"/>
      <c r="D636" s="336"/>
      <c r="E636" s="336"/>
      <c r="F636" s="336"/>
      <c r="G636" s="336"/>
      <c r="H636" s="336"/>
      <c r="I636" s="336"/>
      <c r="J636" s="336"/>
      <c r="K636" s="336"/>
      <c r="L636" s="343"/>
      <c r="M636" s="335"/>
      <c r="N636" s="335"/>
      <c r="O636" s="335"/>
      <c r="P636" s="331"/>
      <c r="Q636" s="332"/>
      <c r="W636" s="60"/>
    </row>
    <row r="637" spans="1:23" ht="14.25">
      <c r="A637" s="335"/>
      <c r="B637" s="335"/>
      <c r="C637" s="335"/>
      <c r="D637" s="336"/>
      <c r="E637" s="336"/>
      <c r="F637" s="336"/>
      <c r="G637" s="336"/>
      <c r="H637" s="336"/>
      <c r="I637" s="336"/>
      <c r="J637" s="336"/>
      <c r="K637" s="336"/>
      <c r="L637" s="343"/>
      <c r="M637" s="335"/>
      <c r="N637" s="335"/>
      <c r="O637" s="335"/>
      <c r="P637" s="331"/>
      <c r="Q637" s="332"/>
      <c r="W637" s="60"/>
    </row>
    <row r="638" spans="1:23" ht="14.25">
      <c r="A638" s="335"/>
      <c r="B638" s="335"/>
      <c r="C638" s="335"/>
      <c r="D638" s="336"/>
      <c r="E638" s="336"/>
      <c r="F638" s="336"/>
      <c r="G638" s="336"/>
      <c r="H638" s="336"/>
      <c r="I638" s="336"/>
      <c r="J638" s="336"/>
      <c r="K638" s="336"/>
      <c r="L638" s="343"/>
      <c r="M638" s="335"/>
      <c r="N638" s="335"/>
      <c r="O638" s="335"/>
      <c r="P638" s="331"/>
      <c r="Q638" s="332"/>
      <c r="W638" s="60"/>
    </row>
    <row r="639" spans="1:23" ht="14.25">
      <c r="A639" s="335"/>
      <c r="B639" s="335"/>
      <c r="C639" s="335"/>
      <c r="D639" s="336"/>
      <c r="E639" s="336"/>
      <c r="F639" s="336"/>
      <c r="G639" s="336"/>
      <c r="H639" s="336"/>
      <c r="I639" s="336"/>
      <c r="J639" s="336"/>
      <c r="K639" s="336"/>
      <c r="L639" s="343"/>
      <c r="M639" s="335"/>
      <c r="N639" s="335"/>
      <c r="O639" s="335"/>
      <c r="P639" s="331"/>
      <c r="Q639" s="332"/>
      <c r="W639" s="60"/>
    </row>
    <row r="640" spans="1:23" ht="14.25">
      <c r="A640" s="335"/>
      <c r="B640" s="335"/>
      <c r="C640" s="335"/>
      <c r="D640" s="336"/>
      <c r="E640" s="336"/>
      <c r="F640" s="336"/>
      <c r="G640" s="336"/>
      <c r="H640" s="336"/>
      <c r="I640" s="336"/>
      <c r="J640" s="336"/>
      <c r="K640" s="336"/>
      <c r="L640" s="343"/>
      <c r="M640" s="335"/>
      <c r="N640" s="335"/>
      <c r="O640" s="335"/>
      <c r="P640" s="331"/>
      <c r="Q640" s="332"/>
      <c r="W640" s="60"/>
    </row>
    <row r="641" spans="1:23" ht="14.25">
      <c r="A641" s="335"/>
      <c r="B641" s="335"/>
      <c r="C641" s="335"/>
      <c r="D641" s="336"/>
      <c r="E641" s="336"/>
      <c r="F641" s="336"/>
      <c r="G641" s="336"/>
      <c r="H641" s="336"/>
      <c r="I641" s="336"/>
      <c r="J641" s="336"/>
      <c r="K641" s="336"/>
      <c r="L641" s="343"/>
      <c r="M641" s="335"/>
      <c r="N641" s="335"/>
      <c r="O641" s="335"/>
      <c r="P641" s="331"/>
      <c r="Q641" s="332"/>
      <c r="W641" s="60"/>
    </row>
    <row r="642" spans="1:23" ht="14.25">
      <c r="A642" s="335"/>
      <c r="B642" s="335"/>
      <c r="C642" s="335"/>
      <c r="D642" s="336"/>
      <c r="E642" s="336"/>
      <c r="F642" s="336"/>
      <c r="G642" s="336"/>
      <c r="H642" s="336"/>
      <c r="I642" s="336"/>
      <c r="J642" s="336"/>
      <c r="K642" s="336"/>
      <c r="L642" s="343"/>
      <c r="M642" s="335"/>
      <c r="N642" s="335"/>
      <c r="O642" s="335"/>
      <c r="P642" s="331"/>
      <c r="Q642" s="332"/>
      <c r="W642" s="60"/>
    </row>
    <row r="643" spans="1:23" ht="14.25">
      <c r="A643" s="335"/>
      <c r="B643" s="335"/>
      <c r="C643" s="335"/>
      <c r="D643" s="336"/>
      <c r="E643" s="336"/>
      <c r="F643" s="336"/>
      <c r="G643" s="336"/>
      <c r="H643" s="336"/>
      <c r="I643" s="336"/>
      <c r="J643" s="336"/>
      <c r="K643" s="336"/>
      <c r="L643" s="343"/>
      <c r="M643" s="335"/>
      <c r="N643" s="335"/>
      <c r="O643" s="335"/>
      <c r="P643" s="331"/>
      <c r="Q643" s="332"/>
      <c r="W643" s="60"/>
    </row>
    <row r="644" spans="1:23" ht="14.25">
      <c r="A644" s="335"/>
      <c r="B644" s="335"/>
      <c r="C644" s="335"/>
      <c r="D644" s="336"/>
      <c r="E644" s="336"/>
      <c r="F644" s="336"/>
      <c r="G644" s="336"/>
      <c r="H644" s="336"/>
      <c r="I644" s="336"/>
      <c r="J644" s="336"/>
      <c r="K644" s="336"/>
      <c r="L644" s="343"/>
      <c r="M644" s="335"/>
      <c r="N644" s="335"/>
      <c r="O644" s="335"/>
      <c r="P644" s="331"/>
      <c r="Q644" s="332"/>
      <c r="W644" s="60"/>
    </row>
    <row r="645" spans="1:23" ht="14.25">
      <c r="A645" s="335"/>
      <c r="B645" s="335"/>
      <c r="C645" s="335"/>
      <c r="D645" s="336"/>
      <c r="E645" s="336"/>
      <c r="F645" s="336"/>
      <c r="G645" s="336"/>
      <c r="H645" s="336"/>
      <c r="I645" s="336"/>
      <c r="J645" s="336"/>
      <c r="K645" s="336"/>
      <c r="L645" s="343"/>
      <c r="M645" s="335"/>
      <c r="N645" s="335"/>
      <c r="O645" s="335"/>
      <c r="P645" s="331"/>
      <c r="Q645" s="332"/>
      <c r="W645" s="60"/>
    </row>
    <row r="646" spans="1:23" ht="14.25">
      <c r="A646" s="335"/>
      <c r="B646" s="335"/>
      <c r="C646" s="335"/>
      <c r="D646" s="336"/>
      <c r="E646" s="336"/>
      <c r="F646" s="336"/>
      <c r="G646" s="336"/>
      <c r="H646" s="336"/>
      <c r="I646" s="336"/>
      <c r="J646" s="336"/>
      <c r="K646" s="336"/>
      <c r="L646" s="343"/>
      <c r="M646" s="335"/>
      <c r="N646" s="335"/>
      <c r="O646" s="335"/>
      <c r="P646" s="331"/>
      <c r="Q646" s="332"/>
      <c r="W646" s="60"/>
    </row>
    <row r="647" spans="1:23" ht="14.25">
      <c r="A647" s="335"/>
      <c r="B647" s="335"/>
      <c r="C647" s="335"/>
      <c r="D647" s="336"/>
      <c r="E647" s="336"/>
      <c r="F647" s="336"/>
      <c r="G647" s="336"/>
      <c r="H647" s="336"/>
      <c r="I647" s="336"/>
      <c r="J647" s="336"/>
      <c r="K647" s="336"/>
      <c r="L647" s="343"/>
      <c r="M647" s="335"/>
      <c r="N647" s="335"/>
      <c r="O647" s="335"/>
      <c r="P647" s="331"/>
      <c r="Q647" s="332"/>
      <c r="W647" s="60"/>
    </row>
    <row r="648" spans="1:23" ht="14.25">
      <c r="A648" s="335"/>
      <c r="B648" s="335"/>
      <c r="C648" s="335"/>
      <c r="D648" s="336"/>
      <c r="E648" s="336"/>
      <c r="F648" s="336"/>
      <c r="G648" s="336"/>
      <c r="H648" s="336"/>
      <c r="I648" s="336"/>
      <c r="J648" s="336"/>
      <c r="K648" s="336"/>
      <c r="L648" s="343"/>
      <c r="M648" s="335"/>
      <c r="N648" s="335"/>
      <c r="O648" s="335"/>
      <c r="P648" s="331"/>
      <c r="Q648" s="332"/>
      <c r="W648" s="60"/>
    </row>
    <row r="649" spans="1:23" ht="14.25">
      <c r="A649" s="335"/>
      <c r="B649" s="335"/>
      <c r="C649" s="335"/>
      <c r="D649" s="336"/>
      <c r="E649" s="336"/>
      <c r="F649" s="336"/>
      <c r="G649" s="336"/>
      <c r="H649" s="336"/>
      <c r="I649" s="336"/>
      <c r="J649" s="336"/>
      <c r="K649" s="336"/>
      <c r="L649" s="343"/>
      <c r="M649" s="335"/>
      <c r="N649" s="335"/>
      <c r="O649" s="335"/>
      <c r="P649" s="331"/>
      <c r="Q649" s="332"/>
      <c r="W649" s="60"/>
    </row>
    <row r="650" spans="1:23" ht="14.25">
      <c r="A650" s="335"/>
      <c r="B650" s="335"/>
      <c r="C650" s="335"/>
      <c r="D650" s="336"/>
      <c r="E650" s="336"/>
      <c r="F650" s="336"/>
      <c r="G650" s="336"/>
      <c r="H650" s="336"/>
      <c r="I650" s="336"/>
      <c r="J650" s="336"/>
      <c r="K650" s="336"/>
      <c r="L650" s="343"/>
      <c r="M650" s="335"/>
      <c r="N650" s="335"/>
      <c r="O650" s="335"/>
      <c r="P650" s="331"/>
      <c r="Q650" s="332"/>
      <c r="W650" s="60"/>
    </row>
    <row r="651" spans="1:23" ht="14.25">
      <c r="A651" s="335"/>
      <c r="B651" s="335"/>
      <c r="C651" s="335"/>
      <c r="D651" s="336"/>
      <c r="E651" s="336"/>
      <c r="F651" s="336"/>
      <c r="G651" s="336"/>
      <c r="H651" s="336"/>
      <c r="I651" s="336"/>
      <c r="J651" s="336"/>
      <c r="K651" s="336"/>
      <c r="L651" s="343"/>
      <c r="M651" s="335"/>
      <c r="N651" s="335"/>
      <c r="O651" s="335"/>
      <c r="P651" s="331"/>
      <c r="Q651" s="332"/>
      <c r="W651" s="60"/>
    </row>
    <row r="652" spans="1:23" ht="14.25">
      <c r="A652" s="335"/>
      <c r="B652" s="335"/>
      <c r="C652" s="335"/>
      <c r="D652" s="336"/>
      <c r="E652" s="336"/>
      <c r="F652" s="336"/>
      <c r="G652" s="336"/>
      <c r="H652" s="336"/>
      <c r="I652" s="336"/>
      <c r="J652" s="336"/>
      <c r="K652" s="336"/>
      <c r="L652" s="343"/>
      <c r="M652" s="335"/>
      <c r="N652" s="335"/>
      <c r="O652" s="335"/>
      <c r="P652" s="331"/>
      <c r="Q652" s="332"/>
      <c r="W652" s="60"/>
    </row>
    <row r="653" spans="1:23" ht="14.25">
      <c r="A653" s="335"/>
      <c r="B653" s="335"/>
      <c r="C653" s="335"/>
      <c r="D653" s="336"/>
      <c r="E653" s="336"/>
      <c r="F653" s="336"/>
      <c r="G653" s="336"/>
      <c r="H653" s="336"/>
      <c r="I653" s="336"/>
      <c r="J653" s="336"/>
      <c r="K653" s="336"/>
      <c r="L653" s="343"/>
      <c r="M653" s="335"/>
      <c r="N653" s="335"/>
      <c r="O653" s="335"/>
      <c r="P653" s="331"/>
      <c r="Q653" s="332"/>
      <c r="W653" s="60"/>
    </row>
    <row r="654" spans="1:23" ht="14.25">
      <c r="A654" s="335"/>
      <c r="B654" s="335"/>
      <c r="C654" s="335"/>
      <c r="D654" s="336"/>
      <c r="E654" s="336"/>
      <c r="F654" s="336"/>
      <c r="G654" s="336"/>
      <c r="H654" s="336"/>
      <c r="I654" s="336"/>
      <c r="J654" s="336"/>
      <c r="K654" s="336"/>
      <c r="L654" s="343"/>
      <c r="M654" s="335"/>
      <c r="N654" s="335"/>
      <c r="O654" s="335"/>
      <c r="P654" s="331"/>
      <c r="Q654" s="332"/>
      <c r="W654" s="60"/>
    </row>
    <row r="655" spans="1:23" ht="14.25">
      <c r="A655" s="335"/>
      <c r="B655" s="335"/>
      <c r="C655" s="335"/>
      <c r="D655" s="336"/>
      <c r="E655" s="336"/>
      <c r="F655" s="336"/>
      <c r="G655" s="336"/>
      <c r="H655" s="336"/>
      <c r="I655" s="336"/>
      <c r="J655" s="336"/>
      <c r="K655" s="336"/>
      <c r="L655" s="343"/>
      <c r="M655" s="335"/>
      <c r="N655" s="335"/>
      <c r="O655" s="335"/>
      <c r="P655" s="331"/>
      <c r="Q655" s="332"/>
      <c r="W655" s="60"/>
    </row>
    <row r="656" spans="1:23" ht="14.25">
      <c r="A656" s="335"/>
      <c r="B656" s="335"/>
      <c r="C656" s="335"/>
      <c r="D656" s="336"/>
      <c r="E656" s="336"/>
      <c r="F656" s="336"/>
      <c r="G656" s="336"/>
      <c r="H656" s="336"/>
      <c r="I656" s="336"/>
      <c r="J656" s="336"/>
      <c r="K656" s="336"/>
      <c r="L656" s="343"/>
      <c r="M656" s="335"/>
      <c r="N656" s="335"/>
      <c r="O656" s="335"/>
      <c r="P656" s="331"/>
      <c r="Q656" s="332"/>
      <c r="W656" s="60"/>
    </row>
    <row r="657" spans="1:23" ht="14.25">
      <c r="A657" s="335"/>
      <c r="B657" s="335"/>
      <c r="C657" s="335"/>
      <c r="D657" s="336"/>
      <c r="E657" s="336"/>
      <c r="F657" s="336"/>
      <c r="G657" s="336"/>
      <c r="H657" s="336"/>
      <c r="I657" s="336"/>
      <c r="J657" s="336"/>
      <c r="K657" s="336"/>
      <c r="L657" s="343"/>
      <c r="M657" s="335"/>
      <c r="N657" s="335"/>
      <c r="O657" s="335"/>
      <c r="P657" s="331"/>
      <c r="Q657" s="332"/>
      <c r="W657" s="60"/>
    </row>
    <row r="658" spans="1:23" ht="14.25">
      <c r="A658" s="335"/>
      <c r="B658" s="335"/>
      <c r="C658" s="335"/>
      <c r="D658" s="336"/>
      <c r="E658" s="336"/>
      <c r="F658" s="336"/>
      <c r="G658" s="336"/>
      <c r="H658" s="336"/>
      <c r="I658" s="336"/>
      <c r="J658" s="336"/>
      <c r="K658" s="336"/>
      <c r="L658" s="343"/>
      <c r="M658" s="335"/>
      <c r="N658" s="335"/>
      <c r="O658" s="335"/>
      <c r="P658" s="331"/>
      <c r="Q658" s="332"/>
      <c r="W658" s="60"/>
    </row>
    <row r="659" spans="1:23" ht="14.25">
      <c r="A659" s="335"/>
      <c r="B659" s="335"/>
      <c r="C659" s="335"/>
      <c r="D659" s="336"/>
      <c r="E659" s="336"/>
      <c r="F659" s="336"/>
      <c r="G659" s="336"/>
      <c r="H659" s="336"/>
      <c r="I659" s="336"/>
      <c r="J659" s="336"/>
      <c r="K659" s="336"/>
      <c r="L659" s="343"/>
      <c r="M659" s="335"/>
      <c r="N659" s="335"/>
      <c r="O659" s="335"/>
      <c r="P659" s="331"/>
      <c r="Q659" s="332"/>
      <c r="W659" s="60"/>
    </row>
    <row r="660" spans="1:23" ht="14.25">
      <c r="A660" s="335"/>
      <c r="B660" s="335"/>
      <c r="C660" s="335"/>
      <c r="D660" s="336"/>
      <c r="E660" s="336"/>
      <c r="F660" s="336"/>
      <c r="G660" s="336"/>
      <c r="H660" s="336"/>
      <c r="I660" s="336"/>
      <c r="J660" s="336"/>
      <c r="K660" s="336"/>
      <c r="L660" s="343"/>
      <c r="M660" s="335"/>
      <c r="N660" s="335"/>
      <c r="O660" s="335"/>
      <c r="P660" s="331"/>
      <c r="Q660" s="332"/>
      <c r="W660" s="60"/>
    </row>
    <row r="661" spans="1:23" ht="14.25">
      <c r="A661" s="335"/>
      <c r="B661" s="335"/>
      <c r="C661" s="335"/>
      <c r="D661" s="336"/>
      <c r="E661" s="336"/>
      <c r="F661" s="336"/>
      <c r="G661" s="336"/>
      <c r="H661" s="336"/>
      <c r="I661" s="336"/>
      <c r="J661" s="336"/>
      <c r="K661" s="336"/>
      <c r="L661" s="343"/>
      <c r="M661" s="335"/>
      <c r="N661" s="335"/>
      <c r="O661" s="335"/>
      <c r="P661" s="331"/>
      <c r="Q661" s="332"/>
      <c r="W661" s="60"/>
    </row>
    <row r="662" spans="1:23" ht="14.25">
      <c r="A662" s="335"/>
      <c r="B662" s="335"/>
      <c r="C662" s="335"/>
      <c r="D662" s="336"/>
      <c r="E662" s="336"/>
      <c r="F662" s="336"/>
      <c r="G662" s="336"/>
      <c r="H662" s="336"/>
      <c r="I662" s="336"/>
      <c r="J662" s="336"/>
      <c r="K662" s="336"/>
      <c r="L662" s="343"/>
      <c r="M662" s="335"/>
      <c r="N662" s="335"/>
      <c r="O662" s="335"/>
      <c r="P662" s="331"/>
      <c r="Q662" s="332"/>
      <c r="W662" s="60"/>
    </row>
    <row r="663" spans="1:23" ht="14.25">
      <c r="A663" s="335"/>
      <c r="B663" s="335"/>
      <c r="C663" s="335"/>
      <c r="D663" s="336"/>
      <c r="E663" s="336"/>
      <c r="F663" s="336"/>
      <c r="G663" s="336"/>
      <c r="H663" s="336"/>
      <c r="I663" s="336"/>
      <c r="J663" s="336"/>
      <c r="K663" s="336"/>
      <c r="L663" s="343"/>
      <c r="M663" s="335"/>
      <c r="N663" s="335"/>
      <c r="O663" s="335"/>
      <c r="P663" s="331"/>
      <c r="Q663" s="332"/>
      <c r="W663" s="60"/>
    </row>
    <row r="664" spans="1:23" ht="14.25">
      <c r="A664" s="335"/>
      <c r="B664" s="335"/>
      <c r="C664" s="335"/>
      <c r="D664" s="336"/>
      <c r="E664" s="336"/>
      <c r="F664" s="336"/>
      <c r="G664" s="336"/>
      <c r="H664" s="336"/>
      <c r="I664" s="336"/>
      <c r="J664" s="336"/>
      <c r="K664" s="336"/>
      <c r="L664" s="343"/>
      <c r="M664" s="335"/>
      <c r="N664" s="335"/>
      <c r="O664" s="335"/>
      <c r="P664" s="331"/>
      <c r="Q664" s="332"/>
      <c r="W664" s="60"/>
    </row>
    <row r="665" spans="1:23" ht="14.25">
      <c r="A665" s="335"/>
      <c r="B665" s="335"/>
      <c r="C665" s="335"/>
      <c r="D665" s="336"/>
      <c r="E665" s="336"/>
      <c r="F665" s="336"/>
      <c r="G665" s="336"/>
      <c r="H665" s="336"/>
      <c r="I665" s="336"/>
      <c r="J665" s="336"/>
      <c r="K665" s="336"/>
      <c r="L665" s="343"/>
      <c r="M665" s="335"/>
      <c r="N665" s="335"/>
      <c r="O665" s="335"/>
      <c r="P665" s="331"/>
      <c r="Q665" s="332"/>
      <c r="W665" s="60"/>
    </row>
    <row r="666" spans="1:23" ht="14.25">
      <c r="A666" s="335"/>
      <c r="B666" s="335"/>
      <c r="C666" s="335"/>
      <c r="D666" s="336"/>
      <c r="E666" s="336"/>
      <c r="F666" s="336"/>
      <c r="G666" s="336"/>
      <c r="H666" s="336"/>
      <c r="I666" s="336"/>
      <c r="J666" s="336"/>
      <c r="K666" s="336"/>
      <c r="L666" s="343"/>
      <c r="M666" s="335"/>
      <c r="N666" s="335"/>
      <c r="O666" s="335"/>
      <c r="P666" s="331"/>
      <c r="Q666" s="332"/>
      <c r="W666" s="60"/>
    </row>
    <row r="667" spans="1:23" ht="14.25">
      <c r="A667" s="335"/>
      <c r="B667" s="335"/>
      <c r="C667" s="335"/>
      <c r="D667" s="336"/>
      <c r="E667" s="336"/>
      <c r="F667" s="336"/>
      <c r="G667" s="336"/>
      <c r="H667" s="336"/>
      <c r="I667" s="336"/>
      <c r="J667" s="336"/>
      <c r="K667" s="336"/>
      <c r="L667" s="343"/>
      <c r="M667" s="335"/>
      <c r="N667" s="335"/>
      <c r="O667" s="335"/>
      <c r="P667" s="331"/>
      <c r="Q667" s="332"/>
      <c r="W667" s="60"/>
    </row>
    <row r="668" spans="1:23" ht="14.25">
      <c r="A668" s="335"/>
      <c r="B668" s="335"/>
      <c r="C668" s="335"/>
      <c r="D668" s="336"/>
      <c r="E668" s="336"/>
      <c r="F668" s="336"/>
      <c r="G668" s="336"/>
      <c r="H668" s="336"/>
      <c r="I668" s="336"/>
      <c r="J668" s="336"/>
      <c r="K668" s="336"/>
      <c r="L668" s="343"/>
      <c r="M668" s="335"/>
      <c r="N668" s="335"/>
      <c r="O668" s="335"/>
      <c r="P668" s="331"/>
      <c r="Q668" s="332"/>
      <c r="W668" s="60"/>
    </row>
    <row r="669" spans="1:23" ht="14.25">
      <c r="A669" s="335"/>
      <c r="B669" s="335"/>
      <c r="C669" s="335"/>
      <c r="D669" s="336"/>
      <c r="E669" s="336"/>
      <c r="F669" s="336"/>
      <c r="G669" s="336"/>
      <c r="H669" s="336"/>
      <c r="I669" s="336"/>
      <c r="J669" s="336"/>
      <c r="K669" s="336"/>
      <c r="L669" s="343"/>
      <c r="M669" s="335"/>
      <c r="N669" s="335"/>
      <c r="O669" s="335"/>
      <c r="P669" s="331"/>
      <c r="Q669" s="332"/>
      <c r="W669" s="60"/>
    </row>
    <row r="670" spans="1:23" ht="14.25">
      <c r="A670" s="335"/>
      <c r="B670" s="335"/>
      <c r="C670" s="335"/>
      <c r="D670" s="336"/>
      <c r="E670" s="336"/>
      <c r="F670" s="336"/>
      <c r="G670" s="336"/>
      <c r="H670" s="336"/>
      <c r="I670" s="336"/>
      <c r="J670" s="336"/>
      <c r="K670" s="336"/>
      <c r="L670" s="343"/>
      <c r="M670" s="335"/>
      <c r="N670" s="335"/>
      <c r="O670" s="335"/>
      <c r="P670" s="331"/>
      <c r="Q670" s="332"/>
      <c r="W670" s="60"/>
    </row>
    <row r="671" spans="1:23" ht="14.25">
      <c r="A671" s="335"/>
      <c r="B671" s="335"/>
      <c r="C671" s="335"/>
      <c r="D671" s="336"/>
      <c r="E671" s="336"/>
      <c r="F671" s="336"/>
      <c r="G671" s="336"/>
      <c r="H671" s="336"/>
      <c r="I671" s="336"/>
      <c r="J671" s="336"/>
      <c r="K671" s="336"/>
      <c r="L671" s="343"/>
      <c r="M671" s="335"/>
      <c r="N671" s="335"/>
      <c r="O671" s="335"/>
      <c r="P671" s="331"/>
      <c r="Q671" s="332"/>
      <c r="W671" s="60"/>
    </row>
    <row r="672" spans="1:23" ht="14.25">
      <c r="A672" s="335"/>
      <c r="B672" s="335"/>
      <c r="C672" s="335"/>
      <c r="D672" s="336"/>
      <c r="E672" s="336"/>
      <c r="F672" s="336"/>
      <c r="G672" s="336"/>
      <c r="H672" s="336"/>
      <c r="I672" s="336"/>
      <c r="J672" s="336"/>
      <c r="K672" s="336"/>
      <c r="L672" s="343"/>
      <c r="M672" s="335"/>
      <c r="N672" s="335"/>
      <c r="O672" s="335"/>
      <c r="P672" s="331"/>
      <c r="Q672" s="332"/>
      <c r="W672" s="60"/>
    </row>
    <row r="673" spans="1:23" ht="14.25">
      <c r="A673" s="335"/>
      <c r="B673" s="335"/>
      <c r="C673" s="335"/>
      <c r="D673" s="336"/>
      <c r="E673" s="336"/>
      <c r="F673" s="336"/>
      <c r="G673" s="336"/>
      <c r="H673" s="336"/>
      <c r="I673" s="336"/>
      <c r="J673" s="336"/>
      <c r="K673" s="336"/>
      <c r="L673" s="343"/>
      <c r="M673" s="335"/>
      <c r="N673" s="335"/>
      <c r="O673" s="335"/>
      <c r="P673" s="331"/>
      <c r="Q673" s="332"/>
      <c r="W673" s="60"/>
    </row>
    <row r="674" spans="1:23" ht="14.25">
      <c r="A674" s="335"/>
      <c r="B674" s="335"/>
      <c r="C674" s="335"/>
      <c r="D674" s="336"/>
      <c r="E674" s="336"/>
      <c r="F674" s="336"/>
      <c r="G674" s="336"/>
      <c r="H674" s="336"/>
      <c r="I674" s="336"/>
      <c r="J674" s="336"/>
      <c r="K674" s="336"/>
      <c r="L674" s="343"/>
      <c r="M674" s="335"/>
      <c r="N674" s="335"/>
      <c r="O674" s="335"/>
      <c r="P674" s="331"/>
      <c r="Q674" s="332"/>
      <c r="W674" s="60"/>
    </row>
    <row r="675" spans="1:23" ht="14.25">
      <c r="A675" s="335"/>
      <c r="B675" s="335"/>
      <c r="C675" s="335"/>
      <c r="D675" s="336"/>
      <c r="E675" s="336"/>
      <c r="F675" s="336"/>
      <c r="G675" s="336"/>
      <c r="H675" s="336"/>
      <c r="I675" s="336"/>
      <c r="J675" s="336"/>
      <c r="K675" s="336"/>
      <c r="L675" s="343"/>
      <c r="M675" s="335"/>
      <c r="N675" s="335"/>
      <c r="O675" s="335"/>
      <c r="P675" s="331"/>
      <c r="Q675" s="332"/>
      <c r="W675" s="60"/>
    </row>
    <row r="676" spans="1:23" ht="14.25">
      <c r="A676" s="335"/>
      <c r="B676" s="335"/>
      <c r="C676" s="335"/>
      <c r="D676" s="336"/>
      <c r="E676" s="336"/>
      <c r="F676" s="336"/>
      <c r="G676" s="336"/>
      <c r="H676" s="336"/>
      <c r="I676" s="336"/>
      <c r="J676" s="336"/>
      <c r="K676" s="336"/>
      <c r="L676" s="343"/>
      <c r="M676" s="335"/>
      <c r="N676" s="335"/>
      <c r="O676" s="335"/>
      <c r="P676" s="331"/>
      <c r="Q676" s="332"/>
      <c r="W676" s="60"/>
    </row>
    <row r="677" spans="1:23" ht="14.25">
      <c r="A677" s="335"/>
      <c r="B677" s="335"/>
      <c r="C677" s="335"/>
      <c r="D677" s="336"/>
      <c r="E677" s="336"/>
      <c r="F677" s="336"/>
      <c r="G677" s="336"/>
      <c r="H677" s="336"/>
      <c r="I677" s="336"/>
      <c r="J677" s="336"/>
      <c r="K677" s="336"/>
      <c r="L677" s="343"/>
      <c r="M677" s="335"/>
      <c r="N677" s="335"/>
      <c r="O677" s="335"/>
      <c r="P677" s="331"/>
      <c r="Q677" s="332"/>
      <c r="W677" s="60"/>
    </row>
    <row r="678" spans="1:23" ht="14.25">
      <c r="A678" s="335"/>
      <c r="B678" s="335"/>
      <c r="C678" s="335"/>
      <c r="D678" s="336"/>
      <c r="E678" s="336"/>
      <c r="F678" s="336"/>
      <c r="G678" s="336"/>
      <c r="H678" s="336"/>
      <c r="I678" s="336"/>
      <c r="J678" s="336"/>
      <c r="K678" s="336"/>
      <c r="L678" s="343"/>
      <c r="M678" s="335"/>
      <c r="N678" s="335"/>
      <c r="O678" s="335"/>
      <c r="P678" s="331"/>
      <c r="Q678" s="332"/>
      <c r="W678" s="60"/>
    </row>
    <row r="679" spans="1:23" ht="14.25">
      <c r="A679" s="335"/>
      <c r="B679" s="335"/>
      <c r="C679" s="335"/>
      <c r="D679" s="336"/>
      <c r="E679" s="336"/>
      <c r="F679" s="336"/>
      <c r="G679" s="336"/>
      <c r="H679" s="336"/>
      <c r="I679" s="336"/>
      <c r="J679" s="336"/>
      <c r="K679" s="336"/>
      <c r="L679" s="343"/>
      <c r="M679" s="335"/>
      <c r="N679" s="335"/>
      <c r="O679" s="335"/>
      <c r="P679" s="331"/>
      <c r="Q679" s="332"/>
      <c r="W679" s="60"/>
    </row>
    <row r="680" spans="1:23" ht="14.25">
      <c r="A680" s="335"/>
      <c r="B680" s="335"/>
      <c r="C680" s="335"/>
      <c r="D680" s="336"/>
      <c r="E680" s="336"/>
      <c r="F680" s="336"/>
      <c r="G680" s="336"/>
      <c r="H680" s="336"/>
      <c r="I680" s="336"/>
      <c r="J680" s="336"/>
      <c r="K680" s="336"/>
      <c r="L680" s="343"/>
      <c r="M680" s="335"/>
      <c r="N680" s="335"/>
      <c r="O680" s="335"/>
      <c r="P680" s="331"/>
      <c r="Q680" s="332"/>
      <c r="W680" s="60"/>
    </row>
    <row r="681" spans="1:23" ht="14.25">
      <c r="A681" s="335"/>
      <c r="B681" s="335"/>
      <c r="C681" s="335"/>
      <c r="D681" s="336"/>
      <c r="E681" s="336"/>
      <c r="F681" s="336"/>
      <c r="G681" s="336"/>
      <c r="H681" s="336"/>
      <c r="I681" s="336"/>
      <c r="J681" s="336"/>
      <c r="K681" s="336"/>
      <c r="L681" s="343"/>
      <c r="M681" s="335"/>
      <c r="N681" s="335"/>
      <c r="O681" s="335"/>
      <c r="P681" s="331"/>
      <c r="Q681" s="332"/>
      <c r="W681" s="60"/>
    </row>
    <row r="682" spans="1:23" ht="14.25">
      <c r="A682" s="335"/>
      <c r="B682" s="335"/>
      <c r="C682" s="335"/>
      <c r="D682" s="336"/>
      <c r="E682" s="336"/>
      <c r="F682" s="336"/>
      <c r="G682" s="336"/>
      <c r="H682" s="336"/>
      <c r="I682" s="336"/>
      <c r="J682" s="336"/>
      <c r="K682" s="336"/>
      <c r="L682" s="343"/>
      <c r="M682" s="335"/>
      <c r="N682" s="335"/>
      <c r="O682" s="335"/>
      <c r="P682" s="331"/>
      <c r="Q682" s="332"/>
      <c r="W682" s="60"/>
    </row>
    <row r="683" spans="1:23" ht="14.25">
      <c r="A683" s="335"/>
      <c r="B683" s="335"/>
      <c r="C683" s="335"/>
      <c r="D683" s="336"/>
      <c r="E683" s="336"/>
      <c r="F683" s="336"/>
      <c r="G683" s="336"/>
      <c r="H683" s="336"/>
      <c r="I683" s="336"/>
      <c r="J683" s="336"/>
      <c r="K683" s="336"/>
      <c r="L683" s="343"/>
      <c r="M683" s="335"/>
      <c r="N683" s="335"/>
      <c r="O683" s="335"/>
      <c r="P683" s="331"/>
      <c r="Q683" s="332"/>
      <c r="W683" s="60"/>
    </row>
    <row r="684" spans="1:23" ht="14.25">
      <c r="A684" s="335"/>
      <c r="B684" s="335"/>
      <c r="C684" s="335"/>
      <c r="D684" s="336"/>
      <c r="E684" s="336"/>
      <c r="F684" s="336"/>
      <c r="G684" s="336"/>
      <c r="H684" s="336"/>
      <c r="I684" s="336"/>
      <c r="J684" s="336"/>
      <c r="K684" s="336"/>
      <c r="L684" s="343"/>
      <c r="M684" s="335"/>
      <c r="N684" s="335"/>
      <c r="O684" s="335"/>
      <c r="P684" s="331"/>
      <c r="Q684" s="332"/>
      <c r="W684" s="60"/>
    </row>
    <row r="685" spans="1:23" ht="14.25">
      <c r="A685" s="335"/>
      <c r="B685" s="335"/>
      <c r="C685" s="335"/>
      <c r="D685" s="336"/>
      <c r="E685" s="336"/>
      <c r="F685" s="336"/>
      <c r="G685" s="336"/>
      <c r="H685" s="336"/>
      <c r="I685" s="336"/>
      <c r="J685" s="336"/>
      <c r="K685" s="336"/>
      <c r="L685" s="343"/>
      <c r="M685" s="335"/>
      <c r="N685" s="335"/>
      <c r="O685" s="335"/>
      <c r="P685" s="331"/>
      <c r="Q685" s="332"/>
      <c r="W685" s="60"/>
    </row>
    <row r="686" spans="1:23" ht="14.25">
      <c r="A686" s="335"/>
      <c r="B686" s="335"/>
      <c r="C686" s="335"/>
      <c r="D686" s="336"/>
      <c r="E686" s="336"/>
      <c r="F686" s="336"/>
      <c r="G686" s="336"/>
      <c r="H686" s="336"/>
      <c r="I686" s="336"/>
      <c r="J686" s="336"/>
      <c r="K686" s="336"/>
      <c r="L686" s="343"/>
      <c r="M686" s="335"/>
      <c r="N686" s="335"/>
      <c r="O686" s="335"/>
      <c r="P686" s="331"/>
      <c r="Q686" s="332"/>
      <c r="W686" s="60"/>
    </row>
    <row r="687" spans="1:23" ht="14.25">
      <c r="A687" s="335"/>
      <c r="B687" s="335"/>
      <c r="C687" s="335"/>
      <c r="D687" s="336"/>
      <c r="E687" s="336"/>
      <c r="F687" s="336"/>
      <c r="G687" s="336"/>
      <c r="H687" s="336"/>
      <c r="I687" s="336"/>
      <c r="J687" s="336"/>
      <c r="K687" s="336"/>
      <c r="L687" s="343"/>
      <c r="M687" s="335"/>
      <c r="N687" s="335"/>
      <c r="O687" s="335"/>
      <c r="P687" s="331"/>
      <c r="Q687" s="332"/>
      <c r="W687" s="60"/>
    </row>
    <row r="688" spans="1:23" ht="14.25">
      <c r="A688" s="335"/>
      <c r="B688" s="335"/>
      <c r="C688" s="335"/>
      <c r="D688" s="336"/>
      <c r="E688" s="336"/>
      <c r="F688" s="336"/>
      <c r="G688" s="336"/>
      <c r="H688" s="336"/>
      <c r="I688" s="336"/>
      <c r="J688" s="336"/>
      <c r="K688" s="336"/>
      <c r="L688" s="343"/>
      <c r="M688" s="335"/>
      <c r="N688" s="335"/>
      <c r="O688" s="335"/>
      <c r="P688" s="331"/>
      <c r="Q688" s="332"/>
      <c r="W688" s="60"/>
    </row>
    <row r="689" spans="1:23" ht="14.25">
      <c r="A689" s="335"/>
      <c r="B689" s="335"/>
      <c r="C689" s="335"/>
      <c r="D689" s="336"/>
      <c r="E689" s="336"/>
      <c r="F689" s="336"/>
      <c r="G689" s="336"/>
      <c r="H689" s="336"/>
      <c r="I689" s="336"/>
      <c r="J689" s="336"/>
      <c r="K689" s="336"/>
      <c r="L689" s="343"/>
      <c r="M689" s="335"/>
      <c r="N689" s="335"/>
      <c r="O689" s="335"/>
      <c r="P689" s="331"/>
      <c r="Q689" s="332"/>
      <c r="W689" s="60"/>
    </row>
    <row r="690" spans="1:23" ht="14.25">
      <c r="A690" s="335"/>
      <c r="B690" s="335"/>
      <c r="C690" s="335"/>
      <c r="D690" s="336"/>
      <c r="E690" s="336"/>
      <c r="F690" s="336"/>
      <c r="G690" s="336"/>
      <c r="H690" s="336"/>
      <c r="I690" s="336"/>
      <c r="J690" s="336"/>
      <c r="K690" s="336"/>
      <c r="L690" s="343"/>
      <c r="M690" s="335"/>
      <c r="N690" s="335"/>
      <c r="O690" s="335"/>
      <c r="P690" s="331"/>
      <c r="Q690" s="332"/>
      <c r="W690" s="60"/>
    </row>
    <row r="691" spans="1:23" ht="14.25">
      <c r="A691" s="335"/>
      <c r="B691" s="335"/>
      <c r="C691" s="335"/>
      <c r="D691" s="336"/>
      <c r="E691" s="336"/>
      <c r="F691" s="336"/>
      <c r="G691" s="336"/>
      <c r="H691" s="336"/>
      <c r="I691" s="336"/>
      <c r="J691" s="336"/>
      <c r="K691" s="336"/>
      <c r="L691" s="343"/>
      <c r="M691" s="335"/>
      <c r="N691" s="335"/>
      <c r="O691" s="335"/>
      <c r="P691" s="331"/>
      <c r="Q691" s="332"/>
      <c r="W691" s="60"/>
    </row>
    <row r="692" spans="1:23" ht="14.25">
      <c r="A692" s="335"/>
      <c r="B692" s="335"/>
      <c r="C692" s="335"/>
      <c r="D692" s="336"/>
      <c r="E692" s="336"/>
      <c r="F692" s="336"/>
      <c r="G692" s="336"/>
      <c r="H692" s="336"/>
      <c r="I692" s="336"/>
      <c r="J692" s="336"/>
      <c r="K692" s="336"/>
      <c r="L692" s="343"/>
      <c r="M692" s="335"/>
      <c r="N692" s="335"/>
      <c r="O692" s="335"/>
      <c r="P692" s="331"/>
      <c r="Q692" s="332"/>
      <c r="W692" s="60"/>
    </row>
    <row r="693" spans="1:23" ht="14.25">
      <c r="A693" s="335"/>
      <c r="B693" s="335"/>
      <c r="C693" s="335"/>
      <c r="D693" s="336"/>
      <c r="E693" s="336"/>
      <c r="F693" s="336"/>
      <c r="G693" s="336"/>
      <c r="H693" s="336"/>
      <c r="I693" s="336"/>
      <c r="J693" s="336"/>
      <c r="K693" s="336"/>
      <c r="L693" s="343"/>
      <c r="M693" s="335"/>
      <c r="N693" s="335"/>
      <c r="O693" s="335"/>
      <c r="P693" s="331"/>
      <c r="Q693" s="332"/>
      <c r="W693" s="60"/>
    </row>
    <row r="694" spans="1:23" ht="14.25">
      <c r="A694" s="335"/>
      <c r="B694" s="335"/>
      <c r="C694" s="335"/>
      <c r="D694" s="336"/>
      <c r="E694" s="336"/>
      <c r="F694" s="336"/>
      <c r="G694" s="336"/>
      <c r="H694" s="336"/>
      <c r="I694" s="336"/>
      <c r="J694" s="336"/>
      <c r="K694" s="336"/>
      <c r="L694" s="343"/>
      <c r="M694" s="335"/>
      <c r="N694" s="335"/>
      <c r="O694" s="335"/>
      <c r="P694" s="331"/>
      <c r="Q694" s="332"/>
      <c r="W694" s="60"/>
    </row>
    <row r="695" spans="1:23" ht="14.25">
      <c r="A695" s="335"/>
      <c r="B695" s="335"/>
      <c r="C695" s="335"/>
      <c r="D695" s="336"/>
      <c r="E695" s="336"/>
      <c r="F695" s="336"/>
      <c r="G695" s="336"/>
      <c r="H695" s="336"/>
      <c r="I695" s="336"/>
      <c r="J695" s="336"/>
      <c r="K695" s="336"/>
      <c r="L695" s="343"/>
      <c r="M695" s="335"/>
      <c r="N695" s="335"/>
      <c r="O695" s="335"/>
      <c r="P695" s="331"/>
      <c r="Q695" s="332"/>
      <c r="W695" s="60"/>
    </row>
    <row r="696" spans="1:23" ht="14.25">
      <c r="A696" s="335"/>
      <c r="B696" s="335"/>
      <c r="C696" s="335"/>
      <c r="D696" s="336"/>
      <c r="E696" s="336"/>
      <c r="F696" s="336"/>
      <c r="G696" s="336"/>
      <c r="H696" s="336"/>
      <c r="I696" s="336"/>
      <c r="J696" s="336"/>
      <c r="K696" s="336"/>
      <c r="L696" s="343"/>
      <c r="M696" s="335"/>
      <c r="N696" s="335"/>
      <c r="O696" s="335"/>
      <c r="P696" s="331"/>
      <c r="Q696" s="332"/>
      <c r="W696" s="60"/>
    </row>
    <row r="697" spans="1:23" ht="14.25">
      <c r="A697" s="335"/>
      <c r="B697" s="335"/>
      <c r="C697" s="335"/>
      <c r="D697" s="336"/>
      <c r="E697" s="336"/>
      <c r="F697" s="336"/>
      <c r="G697" s="336"/>
      <c r="H697" s="336"/>
      <c r="I697" s="336"/>
      <c r="J697" s="336"/>
      <c r="K697" s="336"/>
      <c r="L697" s="343"/>
      <c r="M697" s="335"/>
      <c r="N697" s="335"/>
      <c r="O697" s="335"/>
      <c r="P697" s="331"/>
      <c r="Q697" s="332"/>
      <c r="W697" s="60"/>
    </row>
    <row r="698" spans="1:23" ht="14.25">
      <c r="A698" s="335"/>
      <c r="B698" s="335"/>
      <c r="C698" s="335"/>
      <c r="D698" s="336"/>
      <c r="E698" s="336"/>
      <c r="F698" s="336"/>
      <c r="G698" s="336"/>
      <c r="H698" s="336"/>
      <c r="I698" s="336"/>
      <c r="J698" s="336"/>
      <c r="K698" s="336"/>
      <c r="L698" s="343"/>
      <c r="M698" s="335"/>
      <c r="N698" s="335"/>
      <c r="O698" s="335"/>
      <c r="P698" s="331"/>
      <c r="Q698" s="332"/>
      <c r="W698" s="60"/>
    </row>
    <row r="699" spans="1:23" ht="14.25">
      <c r="A699" s="335"/>
      <c r="B699" s="335"/>
      <c r="C699" s="335"/>
      <c r="D699" s="336"/>
      <c r="E699" s="336"/>
      <c r="F699" s="336"/>
      <c r="G699" s="336"/>
      <c r="H699" s="336"/>
      <c r="I699" s="336"/>
      <c r="J699" s="336"/>
      <c r="K699" s="336"/>
      <c r="L699" s="343"/>
      <c r="M699" s="335"/>
      <c r="N699" s="335"/>
      <c r="O699" s="335"/>
      <c r="P699" s="331"/>
      <c r="Q699" s="332"/>
      <c r="W699" s="60"/>
    </row>
    <row r="700" spans="1:23" ht="14.25">
      <c r="A700" s="335"/>
      <c r="B700" s="335"/>
      <c r="C700" s="335"/>
      <c r="D700" s="336"/>
      <c r="E700" s="336"/>
      <c r="F700" s="336"/>
      <c r="G700" s="336"/>
      <c r="H700" s="336"/>
      <c r="I700" s="336"/>
      <c r="J700" s="336"/>
      <c r="K700" s="336"/>
      <c r="L700" s="343"/>
      <c r="M700" s="335"/>
      <c r="N700" s="335"/>
      <c r="O700" s="335"/>
      <c r="P700" s="331"/>
      <c r="Q700" s="332"/>
      <c r="W700" s="60"/>
    </row>
    <row r="701" spans="1:23" ht="14.25">
      <c r="A701" s="335"/>
      <c r="B701" s="335"/>
      <c r="C701" s="335"/>
      <c r="D701" s="336"/>
      <c r="E701" s="336"/>
      <c r="F701" s="336"/>
      <c r="G701" s="336"/>
      <c r="H701" s="336"/>
      <c r="I701" s="336"/>
      <c r="J701" s="336"/>
      <c r="K701" s="336"/>
      <c r="L701" s="343"/>
      <c r="M701" s="335"/>
      <c r="N701" s="335"/>
      <c r="O701" s="335"/>
      <c r="P701" s="331"/>
      <c r="Q701" s="332"/>
      <c r="W701" s="60"/>
    </row>
    <row r="702" spans="1:23" ht="14.25">
      <c r="A702" s="335"/>
      <c r="B702" s="335"/>
      <c r="C702" s="335"/>
      <c r="D702" s="336"/>
      <c r="E702" s="336"/>
      <c r="F702" s="336"/>
      <c r="G702" s="336"/>
      <c r="H702" s="336"/>
      <c r="I702" s="336"/>
      <c r="J702" s="336"/>
      <c r="K702" s="336"/>
      <c r="L702" s="343"/>
      <c r="M702" s="335"/>
      <c r="N702" s="335"/>
      <c r="O702" s="335"/>
      <c r="P702" s="331"/>
      <c r="Q702" s="332"/>
      <c r="W702" s="60"/>
    </row>
    <row r="703" spans="1:23" ht="14.25">
      <c r="A703" s="335"/>
      <c r="B703" s="335"/>
      <c r="C703" s="335"/>
      <c r="D703" s="336"/>
      <c r="E703" s="336"/>
      <c r="F703" s="336"/>
      <c r="G703" s="336"/>
      <c r="H703" s="336"/>
      <c r="I703" s="336"/>
      <c r="J703" s="336"/>
      <c r="K703" s="336"/>
      <c r="L703" s="343"/>
      <c r="M703" s="335"/>
      <c r="N703" s="335"/>
      <c r="O703" s="335"/>
      <c r="P703" s="331"/>
      <c r="Q703" s="332"/>
      <c r="W703" s="60"/>
    </row>
    <row r="704" spans="1:23" ht="14.25">
      <c r="A704" s="335"/>
      <c r="B704" s="335"/>
      <c r="C704" s="335"/>
      <c r="D704" s="336"/>
      <c r="E704" s="336"/>
      <c r="F704" s="336"/>
      <c r="G704" s="336"/>
      <c r="H704" s="336"/>
      <c r="I704" s="336"/>
      <c r="J704" s="336"/>
      <c r="K704" s="336"/>
      <c r="L704" s="343"/>
      <c r="M704" s="335"/>
      <c r="N704" s="335"/>
      <c r="O704" s="335"/>
      <c r="P704" s="331"/>
      <c r="Q704" s="332"/>
      <c r="W704" s="60"/>
    </row>
    <row r="705" spans="1:23" ht="14.25">
      <c r="A705" s="335"/>
      <c r="B705" s="335"/>
      <c r="C705" s="335"/>
      <c r="D705" s="336"/>
      <c r="E705" s="336"/>
      <c r="F705" s="336"/>
      <c r="G705" s="336"/>
      <c r="H705" s="336"/>
      <c r="I705" s="336"/>
      <c r="J705" s="336"/>
      <c r="K705" s="336"/>
      <c r="L705" s="343"/>
      <c r="M705" s="335"/>
      <c r="N705" s="335"/>
      <c r="O705" s="335"/>
      <c r="P705" s="331"/>
      <c r="Q705" s="332"/>
      <c r="W705" s="60"/>
    </row>
    <row r="706" spans="1:23" ht="14.25">
      <c r="A706" s="335"/>
      <c r="B706" s="335"/>
      <c r="C706" s="335"/>
      <c r="D706" s="336"/>
      <c r="E706" s="336"/>
      <c r="F706" s="336"/>
      <c r="G706" s="336"/>
      <c r="H706" s="336"/>
      <c r="I706" s="336"/>
      <c r="J706" s="336"/>
      <c r="K706" s="336"/>
      <c r="L706" s="343"/>
      <c r="M706" s="335"/>
      <c r="N706" s="335"/>
      <c r="O706" s="335"/>
      <c r="P706" s="331"/>
      <c r="Q706" s="332"/>
      <c r="W706" s="60"/>
    </row>
    <row r="707" spans="1:23" ht="14.25">
      <c r="A707" s="335"/>
      <c r="B707" s="335"/>
      <c r="C707" s="335"/>
      <c r="D707" s="336"/>
      <c r="E707" s="336"/>
      <c r="F707" s="336"/>
      <c r="G707" s="336"/>
      <c r="H707" s="336"/>
      <c r="I707" s="336"/>
      <c r="J707" s="336"/>
      <c r="K707" s="336"/>
      <c r="L707" s="343"/>
      <c r="M707" s="335"/>
      <c r="N707" s="335"/>
      <c r="O707" s="335"/>
      <c r="P707" s="331"/>
      <c r="Q707" s="332"/>
      <c r="W707" s="60"/>
    </row>
    <row r="708" spans="1:23" ht="14.25">
      <c r="A708" s="335"/>
      <c r="B708" s="335"/>
      <c r="C708" s="335"/>
      <c r="D708" s="336"/>
      <c r="E708" s="336"/>
      <c r="F708" s="336"/>
      <c r="G708" s="336"/>
      <c r="H708" s="336"/>
      <c r="I708" s="336"/>
      <c r="J708" s="336"/>
      <c r="K708" s="336"/>
      <c r="L708" s="343"/>
      <c r="M708" s="335"/>
      <c r="N708" s="335"/>
      <c r="O708" s="335"/>
      <c r="P708" s="331"/>
      <c r="Q708" s="332"/>
      <c r="W708" s="60"/>
    </row>
    <row r="709" spans="1:23" ht="14.25">
      <c r="A709" s="335"/>
      <c r="B709" s="335"/>
      <c r="C709" s="335"/>
      <c r="D709" s="336"/>
      <c r="E709" s="336"/>
      <c r="F709" s="336"/>
      <c r="G709" s="336"/>
      <c r="H709" s="336"/>
      <c r="I709" s="336"/>
      <c r="J709" s="336"/>
      <c r="K709" s="336"/>
      <c r="L709" s="343"/>
      <c r="M709" s="335"/>
      <c r="N709" s="335"/>
      <c r="O709" s="335"/>
      <c r="P709" s="331"/>
      <c r="Q709" s="332"/>
      <c r="W709" s="60"/>
    </row>
    <row r="710" spans="1:23" ht="14.25">
      <c r="A710" s="335"/>
      <c r="B710" s="335"/>
      <c r="C710" s="335"/>
      <c r="D710" s="336"/>
      <c r="E710" s="336"/>
      <c r="F710" s="336"/>
      <c r="G710" s="336"/>
      <c r="H710" s="336"/>
      <c r="I710" s="336"/>
      <c r="J710" s="336"/>
      <c r="K710" s="336"/>
      <c r="L710" s="343"/>
      <c r="M710" s="335"/>
      <c r="N710" s="335"/>
      <c r="O710" s="335"/>
      <c r="P710" s="331"/>
      <c r="Q710" s="332"/>
      <c r="W710" s="60"/>
    </row>
    <row r="711" spans="1:23" ht="14.25">
      <c r="A711" s="335"/>
      <c r="B711" s="335"/>
      <c r="C711" s="335"/>
      <c r="D711" s="336"/>
      <c r="E711" s="336"/>
      <c r="F711" s="336"/>
      <c r="G711" s="336"/>
      <c r="H711" s="336"/>
      <c r="I711" s="336"/>
      <c r="J711" s="336"/>
      <c r="K711" s="336"/>
      <c r="L711" s="343"/>
      <c r="M711" s="335"/>
      <c r="N711" s="335"/>
      <c r="O711" s="335"/>
      <c r="P711" s="331"/>
      <c r="Q711" s="332"/>
      <c r="W711" s="60"/>
    </row>
    <row r="712" spans="1:23" ht="14.25">
      <c r="A712" s="335"/>
      <c r="B712" s="335"/>
      <c r="C712" s="335"/>
      <c r="D712" s="336"/>
      <c r="E712" s="336"/>
      <c r="F712" s="336"/>
      <c r="G712" s="336"/>
      <c r="H712" s="336"/>
      <c r="I712" s="336"/>
      <c r="J712" s="336"/>
      <c r="K712" s="336"/>
      <c r="L712" s="343"/>
      <c r="M712" s="335"/>
      <c r="N712" s="335"/>
      <c r="O712" s="335"/>
      <c r="P712" s="331"/>
      <c r="Q712" s="332"/>
      <c r="W712" s="60"/>
    </row>
    <row r="713" spans="1:23" ht="14.25">
      <c r="A713" s="335"/>
      <c r="B713" s="335"/>
      <c r="C713" s="335"/>
      <c r="D713" s="336"/>
      <c r="E713" s="336"/>
      <c r="F713" s="336"/>
      <c r="G713" s="336"/>
      <c r="H713" s="336"/>
      <c r="I713" s="336"/>
      <c r="J713" s="336"/>
      <c r="K713" s="336"/>
      <c r="L713" s="343"/>
      <c r="M713" s="335"/>
      <c r="N713" s="335"/>
      <c r="O713" s="335"/>
      <c r="P713" s="331"/>
      <c r="Q713" s="332"/>
      <c r="W713" s="60"/>
    </row>
    <row r="714" spans="1:23" ht="14.25">
      <c r="A714" s="335"/>
      <c r="B714" s="335"/>
      <c r="C714" s="335"/>
      <c r="D714" s="336"/>
      <c r="E714" s="336"/>
      <c r="F714" s="336"/>
      <c r="G714" s="336"/>
      <c r="H714" s="336"/>
      <c r="I714" s="336"/>
      <c r="J714" s="336"/>
      <c r="K714" s="336"/>
      <c r="L714" s="343"/>
      <c r="M714" s="335"/>
      <c r="N714" s="335"/>
      <c r="O714" s="335"/>
      <c r="P714" s="331"/>
      <c r="Q714" s="332"/>
      <c r="W714" s="60"/>
    </row>
    <row r="715" spans="1:23" ht="14.25">
      <c r="A715" s="335"/>
      <c r="B715" s="335"/>
      <c r="C715" s="335"/>
      <c r="D715" s="336"/>
      <c r="E715" s="336"/>
      <c r="F715" s="336"/>
      <c r="G715" s="336"/>
      <c r="H715" s="336"/>
      <c r="I715" s="336"/>
      <c r="J715" s="336"/>
      <c r="K715" s="336"/>
      <c r="L715" s="343"/>
      <c r="M715" s="335"/>
      <c r="N715" s="335"/>
      <c r="O715" s="335"/>
      <c r="P715" s="331"/>
      <c r="Q715" s="332"/>
      <c r="W715" s="60"/>
    </row>
    <row r="716" spans="1:23" ht="14.25">
      <c r="A716" s="335"/>
      <c r="B716" s="335"/>
      <c r="C716" s="335"/>
      <c r="D716" s="336"/>
      <c r="E716" s="336"/>
      <c r="F716" s="336"/>
      <c r="G716" s="336"/>
      <c r="H716" s="336"/>
      <c r="I716" s="336"/>
      <c r="J716" s="336"/>
      <c r="K716" s="336"/>
      <c r="L716" s="343"/>
      <c r="M716" s="335"/>
      <c r="N716" s="335"/>
      <c r="O716" s="335"/>
      <c r="P716" s="331"/>
      <c r="Q716" s="332"/>
      <c r="W716" s="60"/>
    </row>
    <row r="717" spans="1:23" ht="14.25">
      <c r="A717" s="335"/>
      <c r="B717" s="335"/>
      <c r="C717" s="335"/>
      <c r="D717" s="336"/>
      <c r="E717" s="336"/>
      <c r="F717" s="336"/>
      <c r="G717" s="336"/>
      <c r="H717" s="336"/>
      <c r="I717" s="336"/>
      <c r="J717" s="336"/>
      <c r="K717" s="336"/>
      <c r="L717" s="343"/>
      <c r="M717" s="335"/>
      <c r="N717" s="335"/>
      <c r="O717" s="335"/>
      <c r="P717" s="331"/>
      <c r="Q717" s="332"/>
      <c r="W717" s="60"/>
    </row>
    <row r="718" spans="1:23" ht="14.25">
      <c r="A718" s="335"/>
      <c r="B718" s="335"/>
      <c r="C718" s="335"/>
      <c r="D718" s="336"/>
      <c r="E718" s="336"/>
      <c r="F718" s="336"/>
      <c r="G718" s="336"/>
      <c r="H718" s="336"/>
      <c r="I718" s="336"/>
      <c r="J718" s="336"/>
      <c r="K718" s="336"/>
      <c r="L718" s="343"/>
      <c r="M718" s="335"/>
      <c r="N718" s="335"/>
      <c r="O718" s="335"/>
      <c r="P718" s="331"/>
      <c r="Q718" s="332"/>
      <c r="W718" s="60"/>
    </row>
    <row r="719" spans="1:23" ht="14.25">
      <c r="A719" s="335"/>
      <c r="B719" s="335"/>
      <c r="C719" s="335"/>
      <c r="D719" s="336"/>
      <c r="E719" s="336"/>
      <c r="F719" s="336"/>
      <c r="G719" s="336"/>
      <c r="H719" s="336"/>
      <c r="I719" s="336"/>
      <c r="J719" s="336"/>
      <c r="K719" s="336"/>
      <c r="L719" s="343"/>
      <c r="M719" s="335"/>
      <c r="N719" s="335"/>
      <c r="O719" s="335"/>
      <c r="P719" s="331"/>
      <c r="Q719" s="332"/>
      <c r="W719" s="60"/>
    </row>
    <row r="720" spans="1:23" ht="14.25">
      <c r="A720" s="335"/>
      <c r="B720" s="335"/>
      <c r="C720" s="335"/>
      <c r="D720" s="336"/>
      <c r="E720" s="336"/>
      <c r="F720" s="336"/>
      <c r="G720" s="336"/>
      <c r="H720" s="336"/>
      <c r="I720" s="336"/>
      <c r="J720" s="336"/>
      <c r="K720" s="336"/>
      <c r="L720" s="343"/>
      <c r="M720" s="335"/>
      <c r="N720" s="335"/>
      <c r="O720" s="335"/>
      <c r="P720" s="331"/>
      <c r="Q720" s="332"/>
      <c r="W720" s="60"/>
    </row>
    <row r="721" spans="1:23" ht="14.25">
      <c r="A721" s="335"/>
      <c r="B721" s="335"/>
      <c r="C721" s="335"/>
      <c r="D721" s="336"/>
      <c r="E721" s="336"/>
      <c r="F721" s="336"/>
      <c r="G721" s="336"/>
      <c r="H721" s="336"/>
      <c r="I721" s="336"/>
      <c r="J721" s="336"/>
      <c r="K721" s="336"/>
      <c r="L721" s="343"/>
      <c r="M721" s="335"/>
      <c r="N721" s="335"/>
      <c r="O721" s="335"/>
      <c r="P721" s="331"/>
      <c r="Q721" s="332"/>
      <c r="W721" s="60"/>
    </row>
    <row r="722" spans="1:23" ht="14.25">
      <c r="A722" s="335"/>
      <c r="B722" s="335"/>
      <c r="C722" s="335"/>
      <c r="D722" s="336"/>
      <c r="E722" s="336"/>
      <c r="F722" s="336"/>
      <c r="G722" s="336"/>
      <c r="H722" s="336"/>
      <c r="I722" s="336"/>
      <c r="J722" s="336"/>
      <c r="K722" s="336"/>
      <c r="L722" s="343"/>
      <c r="M722" s="335"/>
      <c r="N722" s="335"/>
      <c r="O722" s="335"/>
      <c r="P722" s="331"/>
      <c r="Q722" s="332"/>
      <c r="W722" s="60"/>
    </row>
    <row r="723" spans="1:23" ht="14.25">
      <c r="A723" s="335"/>
      <c r="B723" s="335"/>
      <c r="C723" s="335"/>
      <c r="D723" s="336"/>
      <c r="E723" s="336"/>
      <c r="F723" s="336"/>
      <c r="G723" s="336"/>
      <c r="H723" s="336"/>
      <c r="I723" s="336"/>
      <c r="J723" s="336"/>
      <c r="K723" s="336"/>
      <c r="L723" s="343"/>
      <c r="M723" s="335"/>
      <c r="N723" s="335"/>
      <c r="O723" s="335"/>
      <c r="P723" s="331"/>
      <c r="Q723" s="332"/>
      <c r="W723" s="60"/>
    </row>
    <row r="724" spans="1:23" ht="14.25">
      <c r="A724" s="335"/>
      <c r="B724" s="335"/>
      <c r="C724" s="335"/>
      <c r="D724" s="336"/>
      <c r="E724" s="336"/>
      <c r="F724" s="336"/>
      <c r="G724" s="336"/>
      <c r="H724" s="336"/>
      <c r="I724" s="336"/>
      <c r="J724" s="336"/>
      <c r="K724" s="336"/>
      <c r="L724" s="343"/>
      <c r="M724" s="335"/>
      <c r="N724" s="335"/>
      <c r="O724" s="335"/>
      <c r="P724" s="331"/>
      <c r="Q724" s="332"/>
      <c r="W724" s="60"/>
    </row>
    <row r="725" spans="1:23" ht="14.25">
      <c r="A725" s="335"/>
      <c r="B725" s="335"/>
      <c r="C725" s="335"/>
      <c r="D725" s="336"/>
      <c r="E725" s="336"/>
      <c r="F725" s="336"/>
      <c r="G725" s="336"/>
      <c r="H725" s="336"/>
      <c r="I725" s="336"/>
      <c r="J725" s="336"/>
      <c r="K725" s="336"/>
      <c r="L725" s="343"/>
      <c r="M725" s="335"/>
      <c r="N725" s="335"/>
      <c r="O725" s="335"/>
      <c r="P725" s="331"/>
      <c r="Q725" s="332"/>
      <c r="W725" s="60"/>
    </row>
    <row r="726" spans="1:23" ht="14.25">
      <c r="A726" s="335"/>
      <c r="B726" s="335"/>
      <c r="C726" s="335"/>
      <c r="D726" s="336"/>
      <c r="E726" s="336"/>
      <c r="F726" s="336"/>
      <c r="G726" s="336"/>
      <c r="H726" s="336"/>
      <c r="I726" s="336"/>
      <c r="J726" s="336"/>
      <c r="K726" s="336"/>
      <c r="L726" s="343"/>
      <c r="M726" s="335"/>
      <c r="N726" s="335"/>
      <c r="O726" s="335"/>
      <c r="P726" s="331"/>
      <c r="Q726" s="332"/>
      <c r="W726" s="60"/>
    </row>
    <row r="727" spans="1:23" ht="14.25">
      <c r="A727" s="335"/>
      <c r="B727" s="335"/>
      <c r="C727" s="335"/>
      <c r="D727" s="336"/>
      <c r="E727" s="336"/>
      <c r="F727" s="336"/>
      <c r="G727" s="336"/>
      <c r="H727" s="336"/>
      <c r="I727" s="336"/>
      <c r="J727" s="336"/>
      <c r="K727" s="336"/>
      <c r="L727" s="343"/>
      <c r="M727" s="335"/>
      <c r="N727" s="335"/>
      <c r="O727" s="335"/>
      <c r="P727" s="331"/>
      <c r="Q727" s="332"/>
      <c r="W727" s="60"/>
    </row>
    <row r="728" spans="1:23" ht="14.25">
      <c r="A728" s="335"/>
      <c r="B728" s="335"/>
      <c r="C728" s="335"/>
      <c r="D728" s="336"/>
      <c r="E728" s="336"/>
      <c r="F728" s="336"/>
      <c r="G728" s="336"/>
      <c r="H728" s="336"/>
      <c r="I728" s="336"/>
      <c r="J728" s="336"/>
      <c r="K728" s="336"/>
      <c r="L728" s="343"/>
      <c r="M728" s="335"/>
      <c r="N728" s="335"/>
      <c r="O728" s="335"/>
      <c r="P728" s="331"/>
      <c r="Q728" s="332"/>
      <c r="W728" s="60"/>
    </row>
    <row r="729" spans="1:23" ht="14.25">
      <c r="A729" s="335"/>
      <c r="B729" s="335"/>
      <c r="C729" s="335"/>
      <c r="D729" s="336"/>
      <c r="E729" s="336"/>
      <c r="F729" s="336"/>
      <c r="G729" s="336"/>
      <c r="H729" s="336"/>
      <c r="I729" s="336"/>
      <c r="J729" s="336"/>
      <c r="K729" s="336"/>
      <c r="L729" s="343"/>
      <c r="M729" s="335"/>
      <c r="N729" s="335"/>
      <c r="O729" s="335"/>
      <c r="P729" s="331"/>
      <c r="Q729" s="332"/>
      <c r="W729" s="60"/>
    </row>
    <row r="730" spans="1:23" ht="14.25">
      <c r="A730" s="335"/>
      <c r="B730" s="335"/>
      <c r="C730" s="335"/>
      <c r="D730" s="336"/>
      <c r="E730" s="336"/>
      <c r="F730" s="336"/>
      <c r="G730" s="336"/>
      <c r="H730" s="336"/>
      <c r="I730" s="336"/>
      <c r="J730" s="336"/>
      <c r="K730" s="336"/>
      <c r="L730" s="343"/>
      <c r="M730" s="335"/>
      <c r="N730" s="335"/>
      <c r="O730" s="335"/>
      <c r="P730" s="331"/>
      <c r="Q730" s="332"/>
      <c r="W730" s="60"/>
    </row>
    <row r="731" spans="1:23" ht="14.25">
      <c r="A731" s="335"/>
      <c r="B731" s="335"/>
      <c r="C731" s="335"/>
      <c r="D731" s="336"/>
      <c r="E731" s="336"/>
      <c r="F731" s="336"/>
      <c r="G731" s="336"/>
      <c r="H731" s="336"/>
      <c r="I731" s="336"/>
      <c r="J731" s="336"/>
      <c r="K731" s="336"/>
      <c r="L731" s="343"/>
      <c r="M731" s="335"/>
      <c r="N731" s="335"/>
      <c r="O731" s="335"/>
      <c r="P731" s="331"/>
      <c r="Q731" s="332"/>
      <c r="W731" s="60"/>
    </row>
    <row r="732" spans="1:23" ht="14.25">
      <c r="A732" s="335"/>
      <c r="B732" s="335"/>
      <c r="C732" s="335"/>
      <c r="D732" s="336"/>
      <c r="E732" s="336"/>
      <c r="F732" s="336"/>
      <c r="G732" s="336"/>
      <c r="H732" s="336"/>
      <c r="I732" s="336"/>
      <c r="J732" s="336"/>
      <c r="K732" s="336"/>
      <c r="L732" s="343"/>
      <c r="M732" s="335"/>
      <c r="N732" s="335"/>
      <c r="O732" s="335"/>
      <c r="P732" s="331"/>
      <c r="Q732" s="332"/>
      <c r="W732" s="60"/>
    </row>
    <row r="733" spans="1:23" ht="14.25">
      <c r="A733" s="335"/>
      <c r="B733" s="335"/>
      <c r="C733" s="335"/>
      <c r="D733" s="336"/>
      <c r="E733" s="336"/>
      <c r="F733" s="336"/>
      <c r="G733" s="336"/>
      <c r="H733" s="336"/>
      <c r="I733" s="336"/>
      <c r="J733" s="336"/>
      <c r="K733" s="336"/>
      <c r="L733" s="343"/>
      <c r="M733" s="335"/>
      <c r="N733" s="335"/>
      <c r="O733" s="335"/>
      <c r="P733" s="331"/>
      <c r="Q733" s="332"/>
      <c r="W733" s="60"/>
    </row>
    <row r="734" spans="1:23" ht="14.25">
      <c r="A734" s="335"/>
      <c r="B734" s="335"/>
      <c r="C734" s="335"/>
      <c r="D734" s="336"/>
      <c r="E734" s="336"/>
      <c r="F734" s="336"/>
      <c r="G734" s="336"/>
      <c r="H734" s="336"/>
      <c r="I734" s="336"/>
      <c r="J734" s="336"/>
      <c r="K734" s="336"/>
      <c r="L734" s="343"/>
      <c r="M734" s="335"/>
      <c r="N734" s="335"/>
      <c r="O734" s="335"/>
      <c r="P734" s="331"/>
      <c r="Q734" s="332"/>
      <c r="W734" s="60"/>
    </row>
    <row r="735" spans="1:23" ht="14.25">
      <c r="A735" s="335"/>
      <c r="B735" s="335"/>
      <c r="C735" s="335"/>
      <c r="D735" s="336"/>
      <c r="E735" s="336"/>
      <c r="F735" s="336"/>
      <c r="G735" s="336"/>
      <c r="H735" s="336"/>
      <c r="I735" s="336"/>
      <c r="J735" s="336"/>
      <c r="K735" s="336"/>
      <c r="L735" s="343"/>
      <c r="M735" s="335"/>
      <c r="N735" s="335"/>
      <c r="O735" s="335"/>
      <c r="P735" s="331"/>
      <c r="Q735" s="332"/>
      <c r="W735" s="60"/>
    </row>
    <row r="736" spans="1:23" ht="14.25">
      <c r="A736" s="335"/>
      <c r="B736" s="335"/>
      <c r="C736" s="335"/>
      <c r="D736" s="336"/>
      <c r="E736" s="336"/>
      <c r="F736" s="336"/>
      <c r="G736" s="336"/>
      <c r="H736" s="336"/>
      <c r="I736" s="336"/>
      <c r="J736" s="336"/>
      <c r="K736" s="336"/>
      <c r="L736" s="343"/>
      <c r="M736" s="335"/>
      <c r="N736" s="335"/>
      <c r="O736" s="335"/>
      <c r="P736" s="331"/>
      <c r="Q736" s="332"/>
      <c r="W736" s="60"/>
    </row>
    <row r="737" spans="1:23" ht="14.25">
      <c r="A737" s="335"/>
      <c r="B737" s="335"/>
      <c r="C737" s="335"/>
      <c r="D737" s="336"/>
      <c r="E737" s="336"/>
      <c r="F737" s="336"/>
      <c r="G737" s="336"/>
      <c r="H737" s="336"/>
      <c r="I737" s="336"/>
      <c r="J737" s="336"/>
      <c r="K737" s="336"/>
      <c r="L737" s="343"/>
      <c r="M737" s="335"/>
      <c r="N737" s="335"/>
      <c r="O737" s="335"/>
      <c r="P737" s="331"/>
      <c r="Q737" s="332"/>
      <c r="W737" s="60"/>
    </row>
    <row r="738" spans="1:23" ht="14.25">
      <c r="A738" s="335"/>
      <c r="B738" s="335"/>
      <c r="C738" s="335"/>
      <c r="D738" s="336"/>
      <c r="E738" s="336"/>
      <c r="F738" s="336"/>
      <c r="G738" s="336"/>
      <c r="H738" s="336"/>
      <c r="I738" s="336"/>
      <c r="J738" s="336"/>
      <c r="K738" s="336"/>
      <c r="L738" s="343"/>
      <c r="M738" s="335"/>
      <c r="N738" s="335"/>
      <c r="O738" s="335"/>
      <c r="P738" s="331"/>
      <c r="Q738" s="332"/>
      <c r="W738" s="60"/>
    </row>
    <row r="739" spans="1:23" ht="14.25">
      <c r="A739" s="335"/>
      <c r="B739" s="335"/>
      <c r="C739" s="335"/>
      <c r="D739" s="336"/>
      <c r="E739" s="336"/>
      <c r="F739" s="336"/>
      <c r="G739" s="336"/>
      <c r="H739" s="336"/>
      <c r="I739" s="336"/>
      <c r="J739" s="336"/>
      <c r="K739" s="336"/>
      <c r="L739" s="343"/>
      <c r="M739" s="335"/>
      <c r="N739" s="335"/>
      <c r="O739" s="335"/>
      <c r="P739" s="331"/>
      <c r="Q739" s="332"/>
      <c r="W739" s="60"/>
    </row>
    <row r="740" spans="1:23" ht="14.25">
      <c r="A740" s="335"/>
      <c r="B740" s="335"/>
      <c r="C740" s="335"/>
      <c r="D740" s="336"/>
      <c r="E740" s="336"/>
      <c r="F740" s="336"/>
      <c r="G740" s="336"/>
      <c r="H740" s="336"/>
      <c r="I740" s="336"/>
      <c r="J740" s="336"/>
      <c r="K740" s="336"/>
      <c r="L740" s="343"/>
      <c r="M740" s="335"/>
      <c r="N740" s="335"/>
      <c r="O740" s="335"/>
      <c r="P740" s="331"/>
      <c r="Q740" s="332"/>
      <c r="W740" s="60"/>
    </row>
    <row r="741" spans="1:23" ht="14.25">
      <c r="A741" s="335"/>
      <c r="B741" s="335"/>
      <c r="C741" s="335"/>
      <c r="D741" s="336"/>
      <c r="E741" s="336"/>
      <c r="F741" s="336"/>
      <c r="G741" s="336"/>
      <c r="H741" s="336"/>
      <c r="I741" s="336"/>
      <c r="J741" s="336"/>
      <c r="K741" s="336"/>
      <c r="L741" s="343"/>
      <c r="M741" s="335"/>
      <c r="N741" s="335"/>
      <c r="O741" s="335"/>
      <c r="P741" s="331"/>
      <c r="Q741" s="332"/>
      <c r="W741" s="60"/>
    </row>
    <row r="742" spans="1:23" ht="14.25">
      <c r="A742" s="335"/>
      <c r="B742" s="335"/>
      <c r="C742" s="335"/>
      <c r="D742" s="336"/>
      <c r="E742" s="336"/>
      <c r="F742" s="336"/>
      <c r="G742" s="336"/>
      <c r="H742" s="336"/>
      <c r="I742" s="336"/>
      <c r="J742" s="336"/>
      <c r="K742" s="336"/>
      <c r="L742" s="343"/>
      <c r="M742" s="335"/>
      <c r="N742" s="335"/>
      <c r="O742" s="335"/>
      <c r="P742" s="331"/>
      <c r="Q742" s="332"/>
      <c r="W742" s="60"/>
    </row>
    <row r="743" spans="1:23" ht="14.25">
      <c r="A743" s="335"/>
      <c r="B743" s="335"/>
      <c r="C743" s="335"/>
      <c r="D743" s="336"/>
      <c r="E743" s="336"/>
      <c r="F743" s="336"/>
      <c r="G743" s="336"/>
      <c r="H743" s="336"/>
      <c r="I743" s="336"/>
      <c r="J743" s="336"/>
      <c r="K743" s="336"/>
      <c r="L743" s="343"/>
      <c r="M743" s="335"/>
      <c r="N743" s="335"/>
      <c r="O743" s="335"/>
      <c r="P743" s="331"/>
      <c r="Q743" s="332"/>
      <c r="W743" s="60"/>
    </row>
    <row r="744" spans="1:23" ht="14.25">
      <c r="A744" s="335"/>
      <c r="B744" s="335"/>
      <c r="C744" s="335"/>
      <c r="D744" s="336"/>
      <c r="E744" s="336"/>
      <c r="F744" s="336"/>
      <c r="G744" s="336"/>
      <c r="H744" s="336"/>
      <c r="I744" s="336"/>
      <c r="J744" s="336"/>
      <c r="K744" s="336"/>
      <c r="L744" s="343"/>
      <c r="M744" s="335"/>
      <c r="N744" s="335"/>
      <c r="O744" s="335"/>
      <c r="P744" s="331"/>
      <c r="Q744" s="332"/>
      <c r="W744" s="60"/>
    </row>
    <row r="745" spans="1:23" ht="14.25">
      <c r="A745" s="335"/>
      <c r="B745" s="335"/>
      <c r="C745" s="335"/>
      <c r="D745" s="336"/>
      <c r="E745" s="336"/>
      <c r="F745" s="336"/>
      <c r="G745" s="336"/>
      <c r="H745" s="336"/>
      <c r="I745" s="336"/>
      <c r="J745" s="336"/>
      <c r="K745" s="336"/>
      <c r="L745" s="343"/>
      <c r="M745" s="335"/>
      <c r="N745" s="335"/>
      <c r="O745" s="335"/>
      <c r="P745" s="331"/>
      <c r="Q745" s="332"/>
      <c r="W745" s="60"/>
    </row>
    <row r="746" spans="1:23" ht="14.25">
      <c r="A746" s="335"/>
      <c r="B746" s="335"/>
      <c r="C746" s="335"/>
      <c r="D746" s="336"/>
      <c r="E746" s="336"/>
      <c r="F746" s="336"/>
      <c r="G746" s="336"/>
      <c r="H746" s="336"/>
      <c r="I746" s="336"/>
      <c r="J746" s="336"/>
      <c r="K746" s="336"/>
      <c r="L746" s="343"/>
      <c r="M746" s="335"/>
      <c r="N746" s="335"/>
      <c r="O746" s="335"/>
      <c r="P746" s="331"/>
      <c r="Q746" s="332"/>
      <c r="W746" s="60"/>
    </row>
    <row r="747" spans="1:23" ht="14.25">
      <c r="A747" s="335"/>
      <c r="B747" s="335"/>
      <c r="C747" s="335"/>
      <c r="D747" s="336"/>
      <c r="E747" s="336"/>
      <c r="F747" s="336"/>
      <c r="G747" s="336"/>
      <c r="H747" s="336"/>
      <c r="I747" s="336"/>
      <c r="J747" s="336"/>
      <c r="K747" s="336"/>
      <c r="L747" s="343"/>
      <c r="M747" s="335"/>
      <c r="N747" s="335"/>
      <c r="O747" s="335"/>
      <c r="P747" s="331"/>
      <c r="Q747" s="332"/>
      <c r="W747" s="60"/>
    </row>
    <row r="748" spans="1:23" ht="14.25">
      <c r="A748" s="335"/>
      <c r="B748" s="335"/>
      <c r="C748" s="335"/>
      <c r="D748" s="336"/>
      <c r="E748" s="336"/>
      <c r="F748" s="336"/>
      <c r="G748" s="336"/>
      <c r="H748" s="336"/>
      <c r="I748" s="336"/>
      <c r="J748" s="336"/>
      <c r="K748" s="336"/>
      <c r="L748" s="343"/>
      <c r="M748" s="335"/>
      <c r="N748" s="335"/>
      <c r="O748" s="335"/>
      <c r="P748" s="331"/>
      <c r="Q748" s="332"/>
      <c r="W748" s="60"/>
    </row>
    <row r="749" spans="1:23" ht="14.25">
      <c r="A749" s="335"/>
      <c r="B749" s="335"/>
      <c r="C749" s="335"/>
      <c r="D749" s="336"/>
      <c r="E749" s="336"/>
      <c r="F749" s="336"/>
      <c r="G749" s="336"/>
      <c r="H749" s="336"/>
      <c r="I749" s="336"/>
      <c r="J749" s="336"/>
      <c r="K749" s="336"/>
      <c r="L749" s="343"/>
      <c r="M749" s="335"/>
      <c r="N749" s="335"/>
      <c r="O749" s="335"/>
      <c r="P749" s="331"/>
      <c r="Q749" s="332"/>
      <c r="W749" s="60"/>
    </row>
    <row r="750" spans="1:23" ht="14.25">
      <c r="A750" s="335"/>
      <c r="B750" s="335"/>
      <c r="C750" s="335"/>
      <c r="D750" s="336"/>
      <c r="E750" s="336"/>
      <c r="F750" s="336"/>
      <c r="G750" s="336"/>
      <c r="H750" s="336"/>
      <c r="I750" s="336"/>
      <c r="J750" s="336"/>
      <c r="K750" s="336"/>
      <c r="L750" s="343"/>
      <c r="M750" s="335"/>
      <c r="N750" s="335"/>
      <c r="O750" s="335"/>
      <c r="P750" s="331"/>
      <c r="Q750" s="332"/>
      <c r="W750" s="60"/>
    </row>
    <row r="751" spans="1:23" ht="14.25">
      <c r="A751" s="335"/>
      <c r="B751" s="335"/>
      <c r="C751" s="335"/>
      <c r="D751" s="336"/>
      <c r="E751" s="336"/>
      <c r="F751" s="336"/>
      <c r="G751" s="336"/>
      <c r="H751" s="336"/>
      <c r="I751" s="336"/>
      <c r="J751" s="336"/>
      <c r="K751" s="336"/>
      <c r="L751" s="343"/>
      <c r="M751" s="335"/>
      <c r="N751" s="335"/>
      <c r="O751" s="335"/>
      <c r="P751" s="331"/>
      <c r="Q751" s="332"/>
      <c r="W751" s="60"/>
    </row>
    <row r="752" spans="1:23" ht="14.25">
      <c r="A752" s="335"/>
      <c r="B752" s="335"/>
      <c r="C752" s="335"/>
      <c r="D752" s="336"/>
      <c r="E752" s="336"/>
      <c r="F752" s="336"/>
      <c r="G752" s="336"/>
      <c r="H752" s="336"/>
      <c r="I752" s="336"/>
      <c r="J752" s="336"/>
      <c r="K752" s="336"/>
      <c r="L752" s="343"/>
      <c r="M752" s="335"/>
      <c r="N752" s="335"/>
      <c r="O752" s="335"/>
      <c r="P752" s="331"/>
      <c r="Q752" s="332"/>
      <c r="W752" s="60"/>
    </row>
    <row r="753" spans="1:23" ht="14.25">
      <c r="A753" s="335"/>
      <c r="B753" s="335"/>
      <c r="C753" s="335"/>
      <c r="D753" s="336"/>
      <c r="E753" s="336"/>
      <c r="F753" s="336"/>
      <c r="G753" s="336"/>
      <c r="H753" s="336"/>
      <c r="I753" s="336"/>
      <c r="J753" s="336"/>
      <c r="K753" s="336"/>
      <c r="L753" s="343"/>
      <c r="M753" s="335"/>
      <c r="N753" s="335"/>
      <c r="O753" s="335"/>
      <c r="P753" s="331"/>
      <c r="Q753" s="332"/>
      <c r="W753" s="60"/>
    </row>
    <row r="754" spans="1:23" ht="14.25">
      <c r="A754" s="335"/>
      <c r="B754" s="335"/>
      <c r="C754" s="335"/>
      <c r="D754" s="336"/>
      <c r="E754" s="336"/>
      <c r="F754" s="336"/>
      <c r="G754" s="336"/>
      <c r="H754" s="336"/>
      <c r="I754" s="336"/>
      <c r="J754" s="336"/>
      <c r="K754" s="336"/>
      <c r="L754" s="343"/>
      <c r="M754" s="335"/>
      <c r="N754" s="335"/>
      <c r="O754" s="335"/>
      <c r="P754" s="331"/>
      <c r="Q754" s="332"/>
      <c r="W754" s="60"/>
    </row>
    <row r="755" spans="1:23" ht="14.25">
      <c r="A755" s="335"/>
      <c r="B755" s="335"/>
      <c r="C755" s="335"/>
      <c r="D755" s="336"/>
      <c r="E755" s="336"/>
      <c r="F755" s="336"/>
      <c r="G755" s="336"/>
      <c r="H755" s="336"/>
      <c r="I755" s="336"/>
      <c r="J755" s="336"/>
      <c r="K755" s="336"/>
      <c r="L755" s="343"/>
      <c r="M755" s="335"/>
      <c r="N755" s="335"/>
      <c r="O755" s="335"/>
      <c r="P755" s="331"/>
      <c r="Q755" s="332"/>
      <c r="W755" s="60"/>
    </row>
    <row r="756" spans="1:23" ht="14.25">
      <c r="A756" s="335"/>
      <c r="B756" s="335"/>
      <c r="C756" s="335"/>
      <c r="D756" s="336"/>
      <c r="E756" s="336"/>
      <c r="F756" s="336"/>
      <c r="G756" s="336"/>
      <c r="H756" s="336"/>
      <c r="I756" s="336"/>
      <c r="J756" s="336"/>
      <c r="K756" s="336"/>
      <c r="L756" s="343"/>
      <c r="M756" s="335"/>
      <c r="N756" s="335"/>
      <c r="O756" s="335"/>
      <c r="P756" s="331"/>
      <c r="Q756" s="332"/>
      <c r="W756" s="60"/>
    </row>
    <row r="757" spans="1:23" ht="14.25">
      <c r="A757" s="335"/>
      <c r="B757" s="335"/>
      <c r="C757" s="335"/>
      <c r="D757" s="336"/>
      <c r="E757" s="336"/>
      <c r="F757" s="336"/>
      <c r="G757" s="336"/>
      <c r="H757" s="336"/>
      <c r="I757" s="336"/>
      <c r="J757" s="336"/>
      <c r="K757" s="336"/>
      <c r="L757" s="343"/>
      <c r="M757" s="335"/>
      <c r="N757" s="335"/>
      <c r="O757" s="335"/>
      <c r="P757" s="331"/>
      <c r="Q757" s="332"/>
      <c r="W757" s="60"/>
    </row>
    <row r="758" spans="1:23" ht="14.25">
      <c r="A758" s="335"/>
      <c r="B758" s="335"/>
      <c r="C758" s="335"/>
      <c r="D758" s="336"/>
      <c r="E758" s="336"/>
      <c r="F758" s="336"/>
      <c r="G758" s="336"/>
      <c r="H758" s="336"/>
      <c r="I758" s="336"/>
      <c r="J758" s="336"/>
      <c r="K758" s="336"/>
      <c r="L758" s="343"/>
      <c r="M758" s="335"/>
      <c r="N758" s="335"/>
      <c r="O758" s="335"/>
      <c r="P758" s="331"/>
      <c r="Q758" s="332"/>
      <c r="W758" s="60"/>
    </row>
    <row r="759" spans="1:23" ht="14.25">
      <c r="A759" s="335"/>
      <c r="B759" s="335"/>
      <c r="C759" s="335"/>
      <c r="D759" s="336"/>
      <c r="E759" s="336"/>
      <c r="F759" s="336"/>
      <c r="G759" s="336"/>
      <c r="H759" s="336"/>
      <c r="I759" s="336"/>
      <c r="J759" s="336"/>
      <c r="K759" s="336"/>
      <c r="L759" s="343"/>
      <c r="M759" s="335"/>
      <c r="N759" s="335"/>
      <c r="O759" s="335"/>
      <c r="P759" s="331"/>
      <c r="Q759" s="332"/>
      <c r="W759" s="60"/>
    </row>
    <row r="760" spans="1:23" ht="14.25">
      <c r="A760" s="335"/>
      <c r="B760" s="335"/>
      <c r="C760" s="335"/>
      <c r="D760" s="336"/>
      <c r="E760" s="336"/>
      <c r="F760" s="336"/>
      <c r="G760" s="336"/>
      <c r="H760" s="336"/>
      <c r="I760" s="336"/>
      <c r="J760" s="336"/>
      <c r="K760" s="336"/>
      <c r="L760" s="343"/>
      <c r="M760" s="335"/>
      <c r="N760" s="335"/>
      <c r="O760" s="335"/>
      <c r="P760" s="331"/>
      <c r="Q760" s="332"/>
      <c r="W760" s="60"/>
    </row>
    <row r="761" spans="1:23" ht="14.25">
      <c r="A761" s="335"/>
      <c r="B761" s="335"/>
      <c r="C761" s="335"/>
      <c r="D761" s="336"/>
      <c r="E761" s="336"/>
      <c r="F761" s="336"/>
      <c r="G761" s="336"/>
      <c r="H761" s="336"/>
      <c r="I761" s="336"/>
      <c r="J761" s="336"/>
      <c r="K761" s="336"/>
      <c r="L761" s="343"/>
      <c r="M761" s="335"/>
      <c r="N761" s="335"/>
      <c r="O761" s="335"/>
      <c r="P761" s="331"/>
      <c r="Q761" s="332"/>
      <c r="W761" s="60"/>
    </row>
    <row r="762" spans="1:23" ht="14.25">
      <c r="A762" s="335"/>
      <c r="B762" s="335"/>
      <c r="C762" s="335"/>
      <c r="D762" s="336"/>
      <c r="E762" s="336"/>
      <c r="F762" s="336"/>
      <c r="G762" s="336"/>
      <c r="H762" s="336"/>
      <c r="I762" s="336"/>
      <c r="J762" s="336"/>
      <c r="K762" s="336"/>
      <c r="L762" s="343"/>
      <c r="M762" s="335"/>
      <c r="N762" s="335"/>
      <c r="O762" s="335"/>
      <c r="P762" s="331"/>
      <c r="Q762" s="332"/>
      <c r="W762" s="60"/>
    </row>
    <row r="763" spans="1:23" ht="14.25">
      <c r="A763" s="335"/>
      <c r="B763" s="335"/>
      <c r="C763" s="335"/>
      <c r="D763" s="336"/>
      <c r="E763" s="336"/>
      <c r="F763" s="336"/>
      <c r="G763" s="336"/>
      <c r="H763" s="336"/>
      <c r="I763" s="336"/>
      <c r="J763" s="336"/>
      <c r="K763" s="336"/>
      <c r="L763" s="343"/>
      <c r="M763" s="335"/>
      <c r="N763" s="335"/>
      <c r="O763" s="335"/>
      <c r="P763" s="331"/>
      <c r="Q763" s="332"/>
      <c r="W763" s="60"/>
    </row>
    <row r="764" spans="1:23" ht="14.25">
      <c r="A764" s="335"/>
      <c r="B764" s="335"/>
      <c r="C764" s="335"/>
      <c r="D764" s="336"/>
      <c r="E764" s="336"/>
      <c r="F764" s="336"/>
      <c r="G764" s="336"/>
      <c r="H764" s="336"/>
      <c r="I764" s="336"/>
      <c r="J764" s="336"/>
      <c r="K764" s="336"/>
      <c r="L764" s="343"/>
      <c r="M764" s="335"/>
      <c r="N764" s="335"/>
      <c r="O764" s="335"/>
      <c r="P764" s="331"/>
      <c r="Q764" s="332"/>
      <c r="W764" s="60"/>
    </row>
    <row r="765" spans="1:23" ht="14.25">
      <c r="A765" s="335"/>
      <c r="B765" s="335"/>
      <c r="C765" s="335"/>
      <c r="D765" s="336"/>
      <c r="E765" s="336"/>
      <c r="F765" s="336"/>
      <c r="G765" s="336"/>
      <c r="H765" s="336"/>
      <c r="I765" s="336"/>
      <c r="J765" s="336"/>
      <c r="K765" s="336"/>
      <c r="L765" s="343"/>
      <c r="M765" s="335"/>
      <c r="N765" s="335"/>
      <c r="O765" s="335"/>
      <c r="P765" s="331"/>
      <c r="Q765" s="332"/>
      <c r="W765" s="60"/>
    </row>
    <row r="766" spans="1:23" ht="14.25">
      <c r="A766" s="335"/>
      <c r="B766" s="335"/>
      <c r="C766" s="335"/>
      <c r="D766" s="336"/>
      <c r="E766" s="336"/>
      <c r="F766" s="336"/>
      <c r="G766" s="336"/>
      <c r="H766" s="336"/>
      <c r="I766" s="336"/>
      <c r="J766" s="336"/>
      <c r="K766" s="336"/>
      <c r="L766" s="343"/>
      <c r="M766" s="335"/>
      <c r="N766" s="335"/>
      <c r="O766" s="335"/>
      <c r="P766" s="331"/>
      <c r="Q766" s="332"/>
      <c r="W766" s="60"/>
    </row>
    <row r="767" spans="1:23" ht="14.25">
      <c r="A767" s="335"/>
      <c r="B767" s="335"/>
      <c r="C767" s="335"/>
      <c r="D767" s="336"/>
      <c r="E767" s="336"/>
      <c r="F767" s="336"/>
      <c r="G767" s="336"/>
      <c r="H767" s="336"/>
      <c r="I767" s="336"/>
      <c r="J767" s="336"/>
      <c r="K767" s="336"/>
      <c r="L767" s="343"/>
      <c r="M767" s="335"/>
      <c r="N767" s="335"/>
      <c r="O767" s="335"/>
      <c r="P767" s="331"/>
      <c r="Q767" s="332"/>
      <c r="W767" s="60"/>
    </row>
    <row r="768" spans="1:23" ht="14.25">
      <c r="A768" s="335"/>
      <c r="B768" s="335"/>
      <c r="C768" s="335"/>
      <c r="D768" s="336"/>
      <c r="E768" s="336"/>
      <c r="F768" s="336"/>
      <c r="G768" s="336"/>
      <c r="H768" s="336"/>
      <c r="I768" s="336"/>
      <c r="J768" s="336"/>
      <c r="K768" s="336"/>
      <c r="L768" s="343"/>
      <c r="M768" s="335"/>
      <c r="N768" s="335"/>
      <c r="O768" s="335"/>
      <c r="P768" s="331"/>
      <c r="Q768" s="332"/>
      <c r="W768" s="60"/>
    </row>
    <row r="769" spans="1:23" ht="14.25">
      <c r="A769" s="335"/>
      <c r="B769" s="335"/>
      <c r="C769" s="335"/>
      <c r="D769" s="336"/>
      <c r="E769" s="336"/>
      <c r="F769" s="336"/>
      <c r="G769" s="336"/>
      <c r="H769" s="336"/>
      <c r="I769" s="336"/>
      <c r="J769" s="336"/>
      <c r="K769" s="336"/>
      <c r="L769" s="343"/>
      <c r="M769" s="335"/>
      <c r="N769" s="335"/>
      <c r="O769" s="335"/>
      <c r="P769" s="331"/>
      <c r="Q769" s="332"/>
      <c r="W769" s="60"/>
    </row>
    <row r="770" spans="1:23" ht="14.25">
      <c r="A770" s="335"/>
      <c r="B770" s="335"/>
      <c r="C770" s="335"/>
      <c r="D770" s="336"/>
      <c r="E770" s="336"/>
      <c r="F770" s="336"/>
      <c r="G770" s="336"/>
      <c r="H770" s="336"/>
      <c r="I770" s="336"/>
      <c r="J770" s="336"/>
      <c r="K770" s="336"/>
      <c r="L770" s="343"/>
      <c r="M770" s="335"/>
      <c r="N770" s="335"/>
      <c r="O770" s="335"/>
      <c r="P770" s="331"/>
      <c r="Q770" s="332"/>
      <c r="W770" s="60"/>
    </row>
    <row r="771" spans="1:23" ht="14.25">
      <c r="A771" s="335"/>
      <c r="B771" s="335"/>
      <c r="C771" s="335"/>
      <c r="D771" s="336"/>
      <c r="E771" s="336"/>
      <c r="F771" s="336"/>
      <c r="G771" s="336"/>
      <c r="H771" s="336"/>
      <c r="I771" s="336"/>
      <c r="J771" s="336"/>
      <c r="K771" s="336"/>
      <c r="L771" s="343"/>
      <c r="M771" s="335"/>
      <c r="N771" s="335"/>
      <c r="O771" s="335"/>
      <c r="P771" s="331"/>
      <c r="Q771" s="332"/>
      <c r="W771" s="60"/>
    </row>
    <row r="772" spans="1:23" ht="14.25">
      <c r="A772" s="335"/>
      <c r="B772" s="335"/>
      <c r="C772" s="335"/>
      <c r="D772" s="336"/>
      <c r="E772" s="336"/>
      <c r="F772" s="336"/>
      <c r="G772" s="336"/>
      <c r="H772" s="336"/>
      <c r="I772" s="336"/>
      <c r="J772" s="336"/>
      <c r="K772" s="336"/>
      <c r="L772" s="343"/>
      <c r="M772" s="335"/>
      <c r="N772" s="335"/>
      <c r="O772" s="335"/>
      <c r="P772" s="331"/>
      <c r="Q772" s="332"/>
      <c r="W772" s="60"/>
    </row>
    <row r="773" spans="1:23" ht="14.25">
      <c r="A773" s="335"/>
      <c r="B773" s="335"/>
      <c r="C773" s="335"/>
      <c r="D773" s="336"/>
      <c r="E773" s="336"/>
      <c r="F773" s="336"/>
      <c r="G773" s="336"/>
      <c r="H773" s="336"/>
      <c r="I773" s="336"/>
      <c r="J773" s="336"/>
      <c r="K773" s="336"/>
      <c r="L773" s="343"/>
      <c r="M773" s="335"/>
      <c r="N773" s="335"/>
      <c r="O773" s="335"/>
      <c r="P773" s="331"/>
      <c r="Q773" s="332"/>
      <c r="W773" s="60"/>
    </row>
    <row r="774" spans="1:23" ht="14.25">
      <c r="A774" s="335"/>
      <c r="B774" s="335"/>
      <c r="C774" s="335"/>
      <c r="D774" s="336"/>
      <c r="E774" s="336"/>
      <c r="F774" s="336"/>
      <c r="G774" s="336"/>
      <c r="H774" s="336"/>
      <c r="I774" s="336"/>
      <c r="J774" s="336"/>
      <c r="K774" s="336"/>
      <c r="L774" s="343"/>
      <c r="M774" s="335"/>
      <c r="N774" s="335"/>
      <c r="O774" s="335"/>
      <c r="P774" s="331"/>
      <c r="Q774" s="332"/>
      <c r="W774" s="60"/>
    </row>
    <row r="775" spans="1:23" ht="14.25">
      <c r="A775" s="335"/>
      <c r="B775" s="335"/>
      <c r="C775" s="335"/>
      <c r="D775" s="336"/>
      <c r="E775" s="336"/>
      <c r="F775" s="336"/>
      <c r="G775" s="336"/>
      <c r="H775" s="336"/>
      <c r="I775" s="336"/>
      <c r="J775" s="336"/>
      <c r="K775" s="336"/>
      <c r="L775" s="343"/>
      <c r="M775" s="335"/>
      <c r="N775" s="335"/>
      <c r="O775" s="335"/>
      <c r="P775" s="331"/>
      <c r="Q775" s="332"/>
      <c r="W775" s="60"/>
    </row>
    <row r="776" spans="1:23" ht="14.25">
      <c r="A776" s="335"/>
      <c r="B776" s="335"/>
      <c r="C776" s="335"/>
      <c r="D776" s="336"/>
      <c r="E776" s="336"/>
      <c r="F776" s="336"/>
      <c r="G776" s="336"/>
      <c r="H776" s="336"/>
      <c r="I776" s="336"/>
      <c r="J776" s="336"/>
      <c r="K776" s="336"/>
      <c r="L776" s="343"/>
      <c r="M776" s="335"/>
      <c r="N776" s="335"/>
      <c r="O776" s="335"/>
      <c r="P776" s="331"/>
      <c r="Q776" s="332"/>
      <c r="W776" s="60"/>
    </row>
    <row r="777" spans="1:23" ht="14.25">
      <c r="A777" s="335"/>
      <c r="B777" s="335"/>
      <c r="C777" s="335"/>
      <c r="D777" s="336"/>
      <c r="E777" s="336"/>
      <c r="F777" s="336"/>
      <c r="G777" s="336"/>
      <c r="H777" s="336"/>
      <c r="I777" s="336"/>
      <c r="J777" s="336"/>
      <c r="K777" s="336"/>
      <c r="L777" s="343"/>
      <c r="M777" s="335"/>
      <c r="N777" s="335"/>
      <c r="O777" s="335"/>
      <c r="P777" s="331"/>
      <c r="Q777" s="332"/>
      <c r="W777" s="60"/>
    </row>
    <row r="778" spans="1:23" ht="14.25">
      <c r="A778" s="335"/>
      <c r="B778" s="335"/>
      <c r="C778" s="335"/>
      <c r="D778" s="336"/>
      <c r="E778" s="336"/>
      <c r="F778" s="336"/>
      <c r="G778" s="336"/>
      <c r="H778" s="336"/>
      <c r="I778" s="336"/>
      <c r="J778" s="336"/>
      <c r="K778" s="336"/>
      <c r="L778" s="343"/>
      <c r="M778" s="335"/>
      <c r="N778" s="335"/>
      <c r="O778" s="335"/>
      <c r="P778" s="331"/>
      <c r="Q778" s="332"/>
      <c r="W778" s="60"/>
    </row>
    <row r="779" spans="1:23" ht="14.25">
      <c r="A779" s="335"/>
      <c r="B779" s="335"/>
      <c r="C779" s="335"/>
      <c r="D779" s="336"/>
      <c r="E779" s="336"/>
      <c r="F779" s="336"/>
      <c r="G779" s="336"/>
      <c r="H779" s="336"/>
      <c r="I779" s="336"/>
      <c r="J779" s="336"/>
      <c r="K779" s="336"/>
      <c r="L779" s="343"/>
      <c r="M779" s="335"/>
      <c r="N779" s="335"/>
      <c r="O779" s="335"/>
      <c r="P779" s="331"/>
      <c r="Q779" s="332"/>
      <c r="W779" s="60"/>
    </row>
    <row r="780" spans="1:23" ht="14.25">
      <c r="A780" s="335"/>
      <c r="B780" s="335"/>
      <c r="C780" s="335"/>
      <c r="D780" s="336"/>
      <c r="E780" s="336"/>
      <c r="F780" s="336"/>
      <c r="G780" s="336"/>
      <c r="H780" s="336"/>
      <c r="I780" s="336"/>
      <c r="J780" s="336"/>
      <c r="K780" s="336"/>
      <c r="L780" s="343"/>
      <c r="M780" s="335"/>
      <c r="N780" s="335"/>
      <c r="O780" s="335"/>
      <c r="P780" s="331"/>
      <c r="Q780" s="332"/>
      <c r="W780" s="60"/>
    </row>
    <row r="781" spans="1:23" ht="14.25">
      <c r="A781" s="335"/>
      <c r="B781" s="335"/>
      <c r="C781" s="335"/>
      <c r="D781" s="336"/>
      <c r="E781" s="336"/>
      <c r="F781" s="336"/>
      <c r="G781" s="336"/>
      <c r="H781" s="336"/>
      <c r="I781" s="336"/>
      <c r="J781" s="336"/>
      <c r="K781" s="336"/>
      <c r="L781" s="343"/>
      <c r="M781" s="335"/>
      <c r="N781" s="335"/>
      <c r="O781" s="335"/>
      <c r="P781" s="331"/>
      <c r="Q781" s="332"/>
      <c r="W781" s="60"/>
    </row>
    <row r="782" spans="1:23" ht="14.25">
      <c r="A782" s="335"/>
      <c r="B782" s="335"/>
      <c r="C782" s="335"/>
      <c r="D782" s="336"/>
      <c r="E782" s="336"/>
      <c r="F782" s="336"/>
      <c r="G782" s="336"/>
      <c r="H782" s="336"/>
      <c r="I782" s="336"/>
      <c r="J782" s="336"/>
      <c r="K782" s="336"/>
      <c r="L782" s="343"/>
      <c r="M782" s="335"/>
      <c r="N782" s="335"/>
      <c r="O782" s="335"/>
      <c r="P782" s="331"/>
      <c r="Q782" s="332"/>
      <c r="W782" s="60"/>
    </row>
    <row r="783" spans="1:23" ht="14.25">
      <c r="A783" s="335"/>
      <c r="B783" s="335"/>
      <c r="C783" s="335"/>
      <c r="D783" s="336"/>
      <c r="E783" s="336"/>
      <c r="F783" s="336"/>
      <c r="G783" s="336"/>
      <c r="H783" s="336"/>
      <c r="I783" s="336"/>
      <c r="J783" s="336"/>
      <c r="K783" s="336"/>
      <c r="L783" s="343"/>
      <c r="M783" s="335"/>
      <c r="N783" s="335"/>
      <c r="O783" s="335"/>
      <c r="P783" s="331"/>
      <c r="Q783" s="332"/>
      <c r="W783" s="60"/>
    </row>
    <row r="784" spans="1:23" ht="14.25">
      <c r="A784" s="335"/>
      <c r="B784" s="335"/>
      <c r="C784" s="335"/>
      <c r="D784" s="336"/>
      <c r="E784" s="336"/>
      <c r="F784" s="336"/>
      <c r="G784" s="336"/>
      <c r="H784" s="336"/>
      <c r="I784" s="336"/>
      <c r="J784" s="336"/>
      <c r="K784" s="336"/>
      <c r="L784" s="343"/>
      <c r="M784" s="335"/>
      <c r="N784" s="335"/>
      <c r="O784" s="335"/>
      <c r="P784" s="331"/>
      <c r="Q784" s="332"/>
      <c r="W784" s="60"/>
    </row>
    <row r="785" spans="1:23" ht="14.25">
      <c r="A785" s="335"/>
      <c r="B785" s="335"/>
      <c r="C785" s="335"/>
      <c r="D785" s="336"/>
      <c r="E785" s="336"/>
      <c r="F785" s="336"/>
      <c r="G785" s="336"/>
      <c r="H785" s="336"/>
      <c r="I785" s="336"/>
      <c r="J785" s="336"/>
      <c r="K785" s="336"/>
      <c r="L785" s="343"/>
      <c r="M785" s="335"/>
      <c r="N785" s="335"/>
      <c r="O785" s="335"/>
      <c r="P785" s="331"/>
      <c r="Q785" s="332"/>
      <c r="W785" s="60"/>
    </row>
    <row r="786" spans="1:23" ht="14.25">
      <c r="A786" s="335"/>
      <c r="B786" s="335"/>
      <c r="C786" s="335"/>
      <c r="D786" s="336"/>
      <c r="E786" s="336"/>
      <c r="F786" s="336"/>
      <c r="G786" s="336"/>
      <c r="H786" s="336"/>
      <c r="I786" s="336"/>
      <c r="J786" s="336"/>
      <c r="K786" s="336"/>
      <c r="L786" s="343"/>
      <c r="M786" s="335"/>
      <c r="N786" s="335"/>
      <c r="O786" s="335"/>
      <c r="P786" s="331"/>
      <c r="Q786" s="332"/>
      <c r="W786" s="60"/>
    </row>
    <row r="787" spans="1:23" ht="14.25">
      <c r="A787" s="335"/>
      <c r="B787" s="335"/>
      <c r="C787" s="335"/>
      <c r="D787" s="336"/>
      <c r="E787" s="336"/>
      <c r="F787" s="336"/>
      <c r="G787" s="336"/>
      <c r="H787" s="336"/>
      <c r="I787" s="336"/>
      <c r="J787" s="336"/>
      <c r="K787" s="336"/>
      <c r="L787" s="343"/>
      <c r="M787" s="335"/>
      <c r="N787" s="335"/>
      <c r="O787" s="335"/>
      <c r="P787" s="331"/>
      <c r="Q787" s="332"/>
      <c r="W787" s="60"/>
    </row>
    <row r="788" spans="1:23" ht="14.25">
      <c r="A788" s="335"/>
      <c r="B788" s="335"/>
      <c r="C788" s="335"/>
      <c r="D788" s="336"/>
      <c r="E788" s="336"/>
      <c r="F788" s="336"/>
      <c r="G788" s="336"/>
      <c r="H788" s="336"/>
      <c r="I788" s="336"/>
      <c r="J788" s="336"/>
      <c r="K788" s="336"/>
      <c r="L788" s="343"/>
      <c r="M788" s="335"/>
      <c r="N788" s="335"/>
      <c r="O788" s="335"/>
      <c r="P788" s="331"/>
      <c r="Q788" s="332"/>
      <c r="W788" s="60"/>
    </row>
    <row r="789" spans="1:23" ht="14.25">
      <c r="A789" s="335"/>
      <c r="B789" s="335"/>
      <c r="C789" s="335"/>
      <c r="D789" s="336"/>
      <c r="E789" s="336"/>
      <c r="F789" s="336"/>
      <c r="G789" s="336"/>
      <c r="H789" s="336"/>
      <c r="I789" s="336"/>
      <c r="J789" s="336"/>
      <c r="K789" s="336"/>
      <c r="L789" s="343"/>
      <c r="M789" s="335"/>
      <c r="N789" s="335"/>
      <c r="O789" s="335"/>
      <c r="P789" s="331"/>
      <c r="Q789" s="332"/>
      <c r="W789" s="60"/>
    </row>
    <row r="790" spans="1:23" ht="14.25">
      <c r="A790" s="335"/>
      <c r="B790" s="335"/>
      <c r="C790" s="335"/>
      <c r="D790" s="336"/>
      <c r="E790" s="336"/>
      <c r="F790" s="336"/>
      <c r="G790" s="336"/>
      <c r="H790" s="336"/>
      <c r="I790" s="336"/>
      <c r="J790" s="336"/>
      <c r="K790" s="336"/>
      <c r="L790" s="343"/>
      <c r="M790" s="335"/>
      <c r="N790" s="335"/>
      <c r="O790" s="335"/>
      <c r="P790" s="331"/>
      <c r="Q790" s="332"/>
      <c r="W790" s="60"/>
    </row>
    <row r="791" spans="1:23" ht="14.25">
      <c r="A791" s="335"/>
      <c r="B791" s="335"/>
      <c r="C791" s="335"/>
      <c r="D791" s="336"/>
      <c r="E791" s="336"/>
      <c r="F791" s="336"/>
      <c r="G791" s="336"/>
      <c r="H791" s="336"/>
      <c r="I791" s="336"/>
      <c r="J791" s="336"/>
      <c r="K791" s="336"/>
      <c r="L791" s="343"/>
      <c r="M791" s="335"/>
      <c r="N791" s="335"/>
      <c r="O791" s="335"/>
      <c r="P791" s="331"/>
      <c r="Q791" s="332"/>
      <c r="W791" s="60"/>
    </row>
    <row r="792" spans="1:23" ht="14.25">
      <c r="A792" s="335"/>
      <c r="B792" s="335"/>
      <c r="C792" s="335"/>
      <c r="D792" s="336"/>
      <c r="E792" s="336"/>
      <c r="F792" s="336"/>
      <c r="G792" s="336"/>
      <c r="H792" s="336"/>
      <c r="I792" s="336"/>
      <c r="J792" s="336"/>
      <c r="K792" s="336"/>
      <c r="L792" s="343"/>
      <c r="M792" s="335"/>
      <c r="N792" s="335"/>
      <c r="O792" s="335"/>
      <c r="P792" s="331"/>
      <c r="Q792" s="332"/>
      <c r="W792" s="60"/>
    </row>
    <row r="793" spans="1:23" ht="14.25">
      <c r="A793" s="335"/>
      <c r="B793" s="335"/>
      <c r="C793" s="335"/>
      <c r="D793" s="336"/>
      <c r="E793" s="336"/>
      <c r="F793" s="336"/>
      <c r="G793" s="336"/>
      <c r="H793" s="336"/>
      <c r="I793" s="336"/>
      <c r="J793" s="336"/>
      <c r="K793" s="336"/>
      <c r="L793" s="343"/>
      <c r="M793" s="335"/>
      <c r="N793" s="335"/>
      <c r="O793" s="335"/>
      <c r="P793" s="331"/>
      <c r="Q793" s="332"/>
      <c r="W793" s="60"/>
    </row>
    <row r="794" spans="1:23" ht="14.25">
      <c r="A794" s="335"/>
      <c r="B794" s="335"/>
      <c r="C794" s="335"/>
      <c r="D794" s="336"/>
      <c r="E794" s="336"/>
      <c r="F794" s="336"/>
      <c r="G794" s="336"/>
      <c r="H794" s="336"/>
      <c r="I794" s="336"/>
      <c r="J794" s="336"/>
      <c r="K794" s="336"/>
      <c r="L794" s="343"/>
      <c r="M794" s="335"/>
      <c r="N794" s="335"/>
      <c r="O794" s="335"/>
      <c r="P794" s="331"/>
      <c r="Q794" s="332"/>
      <c r="W794" s="60"/>
    </row>
    <row r="795" spans="1:23" ht="14.25">
      <c r="A795" s="335"/>
      <c r="B795" s="335"/>
      <c r="C795" s="335"/>
      <c r="D795" s="336"/>
      <c r="E795" s="336"/>
      <c r="F795" s="336"/>
      <c r="G795" s="336"/>
      <c r="H795" s="336"/>
      <c r="I795" s="336"/>
      <c r="J795" s="336"/>
      <c r="K795" s="336"/>
      <c r="L795" s="343"/>
      <c r="M795" s="335"/>
      <c r="N795" s="335"/>
      <c r="O795" s="335"/>
      <c r="P795" s="331"/>
      <c r="Q795" s="332"/>
      <c r="W795" s="60"/>
    </row>
    <row r="796" spans="1:23" ht="14.25">
      <c r="A796" s="335"/>
      <c r="B796" s="335"/>
      <c r="C796" s="335"/>
      <c r="D796" s="336"/>
      <c r="E796" s="336"/>
      <c r="F796" s="336"/>
      <c r="G796" s="336"/>
      <c r="H796" s="336"/>
      <c r="I796" s="336"/>
      <c r="J796" s="336"/>
      <c r="K796" s="336"/>
      <c r="L796" s="343"/>
      <c r="M796" s="335"/>
      <c r="N796" s="335"/>
      <c r="O796" s="335"/>
      <c r="P796" s="331"/>
      <c r="Q796" s="332"/>
      <c r="W796" s="60"/>
    </row>
    <row r="797" spans="1:23" ht="14.25">
      <c r="A797" s="335"/>
      <c r="B797" s="335"/>
      <c r="C797" s="335"/>
      <c r="D797" s="336"/>
      <c r="E797" s="336"/>
      <c r="F797" s="336"/>
      <c r="G797" s="336"/>
      <c r="H797" s="336"/>
      <c r="I797" s="336"/>
      <c r="J797" s="336"/>
      <c r="K797" s="336"/>
      <c r="L797" s="343"/>
      <c r="M797" s="335"/>
      <c r="N797" s="335"/>
      <c r="O797" s="335"/>
      <c r="P797" s="331"/>
      <c r="Q797" s="332"/>
      <c r="W797" s="60"/>
    </row>
    <row r="798" spans="1:23" ht="14.25">
      <c r="A798" s="335"/>
      <c r="B798" s="335"/>
      <c r="C798" s="335"/>
      <c r="D798" s="336"/>
      <c r="E798" s="336"/>
      <c r="F798" s="336"/>
      <c r="G798" s="336"/>
      <c r="H798" s="336"/>
      <c r="I798" s="336"/>
      <c r="J798" s="336"/>
      <c r="K798" s="336"/>
      <c r="L798" s="343"/>
      <c r="M798" s="335"/>
      <c r="N798" s="335"/>
      <c r="O798" s="335"/>
      <c r="P798" s="331"/>
      <c r="Q798" s="332"/>
      <c r="W798" s="60"/>
    </row>
    <row r="799" spans="1:23" ht="14.25">
      <c r="A799" s="335"/>
      <c r="B799" s="335"/>
      <c r="C799" s="335"/>
      <c r="D799" s="336"/>
      <c r="E799" s="336"/>
      <c r="F799" s="336"/>
      <c r="G799" s="336"/>
      <c r="H799" s="336"/>
      <c r="I799" s="336"/>
      <c r="J799" s="336"/>
      <c r="K799" s="336"/>
      <c r="L799" s="343"/>
      <c r="M799" s="335"/>
      <c r="N799" s="335"/>
      <c r="O799" s="335"/>
      <c r="P799" s="331"/>
      <c r="Q799" s="332"/>
      <c r="W799" s="60"/>
    </row>
    <row r="800" spans="1:23" ht="14.25">
      <c r="A800" s="335"/>
      <c r="B800" s="335"/>
      <c r="C800" s="335"/>
      <c r="D800" s="336"/>
      <c r="E800" s="336"/>
      <c r="F800" s="336"/>
      <c r="G800" s="336"/>
      <c r="H800" s="336"/>
      <c r="I800" s="336"/>
      <c r="J800" s="336"/>
      <c r="K800" s="336"/>
      <c r="L800" s="343"/>
      <c r="M800" s="335"/>
      <c r="N800" s="335"/>
      <c r="O800" s="335"/>
      <c r="P800" s="331"/>
      <c r="Q800" s="332"/>
      <c r="W800" s="60"/>
    </row>
    <row r="801" spans="1:23" ht="14.25">
      <c r="A801" s="335"/>
      <c r="B801" s="335"/>
      <c r="C801" s="335"/>
      <c r="D801" s="336"/>
      <c r="E801" s="336"/>
      <c r="F801" s="336"/>
      <c r="G801" s="336"/>
      <c r="H801" s="336"/>
      <c r="I801" s="336"/>
      <c r="J801" s="336"/>
      <c r="K801" s="336"/>
      <c r="L801" s="343"/>
      <c r="M801" s="335"/>
      <c r="N801" s="335"/>
      <c r="O801" s="335"/>
      <c r="P801" s="331"/>
      <c r="Q801" s="332"/>
      <c r="W801" s="60"/>
    </row>
    <row r="802" spans="1:23" ht="14.25">
      <c r="A802" s="335"/>
      <c r="B802" s="335"/>
      <c r="C802" s="335"/>
      <c r="D802" s="336"/>
      <c r="E802" s="336"/>
      <c r="F802" s="336"/>
      <c r="G802" s="336"/>
      <c r="H802" s="336"/>
      <c r="I802" s="336"/>
      <c r="J802" s="336"/>
      <c r="K802" s="336"/>
      <c r="L802" s="343"/>
      <c r="M802" s="335"/>
      <c r="N802" s="335"/>
      <c r="O802" s="335"/>
      <c r="P802" s="331"/>
      <c r="Q802" s="332"/>
      <c r="W802" s="60"/>
    </row>
    <row r="803" spans="1:23" ht="14.25">
      <c r="A803" s="335"/>
      <c r="B803" s="335"/>
      <c r="C803" s="335"/>
      <c r="D803" s="336"/>
      <c r="E803" s="336"/>
      <c r="F803" s="336"/>
      <c r="G803" s="336"/>
      <c r="H803" s="336"/>
      <c r="I803" s="336"/>
      <c r="J803" s="336"/>
      <c r="K803" s="336"/>
      <c r="L803" s="343"/>
      <c r="M803" s="335"/>
      <c r="N803" s="335"/>
      <c r="O803" s="335"/>
      <c r="P803" s="331"/>
      <c r="Q803" s="332"/>
      <c r="W803" s="60"/>
    </row>
    <row r="804" spans="1:23" ht="14.25">
      <c r="A804" s="335"/>
      <c r="B804" s="335"/>
      <c r="C804" s="335"/>
      <c r="D804" s="336"/>
      <c r="E804" s="336"/>
      <c r="F804" s="336"/>
      <c r="G804" s="336"/>
      <c r="H804" s="336"/>
      <c r="I804" s="336"/>
      <c r="J804" s="336"/>
      <c r="K804" s="336"/>
      <c r="L804" s="343"/>
      <c r="M804" s="335"/>
      <c r="N804" s="335"/>
      <c r="O804" s="335"/>
      <c r="P804" s="331"/>
      <c r="Q804" s="332"/>
      <c r="W804" s="60"/>
    </row>
    <row r="805" spans="1:23" ht="14.25">
      <c r="A805" s="335"/>
      <c r="B805" s="335"/>
      <c r="C805" s="335"/>
      <c r="D805" s="336"/>
      <c r="E805" s="336"/>
      <c r="F805" s="336"/>
      <c r="G805" s="336"/>
      <c r="H805" s="336"/>
      <c r="I805" s="336"/>
      <c r="J805" s="336"/>
      <c r="K805" s="336"/>
      <c r="L805" s="343"/>
      <c r="M805" s="335"/>
      <c r="N805" s="335"/>
      <c r="O805" s="335"/>
      <c r="P805" s="331"/>
      <c r="Q805" s="332"/>
      <c r="W805" s="60"/>
    </row>
    <row r="806" spans="1:23" ht="14.25">
      <c r="A806" s="335"/>
      <c r="B806" s="335"/>
      <c r="C806" s="335"/>
      <c r="D806" s="336"/>
      <c r="E806" s="336"/>
      <c r="F806" s="336"/>
      <c r="G806" s="336"/>
      <c r="H806" s="336"/>
      <c r="I806" s="336"/>
      <c r="J806" s="336"/>
      <c r="K806" s="336"/>
      <c r="L806" s="343"/>
      <c r="M806" s="335"/>
      <c r="N806" s="335"/>
      <c r="O806" s="335"/>
      <c r="P806" s="331"/>
      <c r="Q806" s="332"/>
      <c r="W806" s="60"/>
    </row>
    <row r="807" spans="1:23" ht="14.25">
      <c r="A807" s="335"/>
      <c r="B807" s="335"/>
      <c r="C807" s="335"/>
      <c r="D807" s="336"/>
      <c r="E807" s="336"/>
      <c r="F807" s="336"/>
      <c r="G807" s="336"/>
      <c r="H807" s="336"/>
      <c r="I807" s="336"/>
      <c r="J807" s="336"/>
      <c r="K807" s="336"/>
      <c r="L807" s="343"/>
      <c r="M807" s="335"/>
      <c r="N807" s="335"/>
      <c r="O807" s="335"/>
      <c r="P807" s="331"/>
      <c r="Q807" s="332"/>
      <c r="W807" s="60"/>
    </row>
    <row r="808" spans="1:23" ht="14.25">
      <c r="A808" s="335"/>
      <c r="B808" s="335"/>
      <c r="C808" s="335"/>
      <c r="D808" s="336"/>
      <c r="E808" s="336"/>
      <c r="F808" s="336"/>
      <c r="G808" s="336"/>
      <c r="H808" s="336"/>
      <c r="I808" s="336"/>
      <c r="J808" s="336"/>
      <c r="K808" s="336"/>
      <c r="L808" s="343"/>
      <c r="M808" s="335"/>
      <c r="N808" s="335"/>
      <c r="O808" s="335"/>
      <c r="P808" s="331"/>
      <c r="Q808" s="332"/>
      <c r="W808" s="60"/>
    </row>
    <row r="809" spans="1:23" ht="14.25">
      <c r="A809" s="335"/>
      <c r="B809" s="335"/>
      <c r="C809" s="335"/>
      <c r="D809" s="336"/>
      <c r="E809" s="336"/>
      <c r="F809" s="336"/>
      <c r="G809" s="336"/>
      <c r="H809" s="336"/>
      <c r="I809" s="336"/>
      <c r="J809" s="336"/>
      <c r="K809" s="336"/>
      <c r="L809" s="343"/>
      <c r="M809" s="335"/>
      <c r="N809" s="335"/>
      <c r="O809" s="335"/>
      <c r="P809" s="331"/>
      <c r="Q809" s="332"/>
      <c r="W809" s="60"/>
    </row>
    <row r="810" spans="1:23" ht="14.25">
      <c r="A810" s="335"/>
      <c r="B810" s="335"/>
      <c r="C810" s="335"/>
      <c r="D810" s="336"/>
      <c r="E810" s="336"/>
      <c r="F810" s="336"/>
      <c r="G810" s="336"/>
      <c r="H810" s="336"/>
      <c r="I810" s="336"/>
      <c r="J810" s="336"/>
      <c r="K810" s="336"/>
      <c r="L810" s="343"/>
      <c r="M810" s="335"/>
      <c r="N810" s="335"/>
      <c r="O810" s="335"/>
      <c r="P810" s="331"/>
      <c r="Q810" s="332"/>
      <c r="W810" s="60"/>
    </row>
    <row r="811" spans="1:23" ht="14.25">
      <c r="A811" s="335"/>
      <c r="B811" s="335"/>
      <c r="C811" s="335"/>
      <c r="D811" s="336"/>
      <c r="E811" s="336"/>
      <c r="F811" s="336"/>
      <c r="G811" s="336"/>
      <c r="H811" s="336"/>
      <c r="I811" s="336"/>
      <c r="J811" s="336"/>
      <c r="K811" s="336"/>
      <c r="L811" s="343"/>
      <c r="M811" s="335"/>
      <c r="N811" s="335"/>
      <c r="O811" s="335"/>
      <c r="P811" s="331"/>
      <c r="Q811" s="332"/>
      <c r="W811" s="60"/>
    </row>
    <row r="812" spans="1:23" ht="14.25">
      <c r="A812" s="335"/>
      <c r="B812" s="335"/>
      <c r="C812" s="335"/>
      <c r="D812" s="336"/>
      <c r="E812" s="336"/>
      <c r="F812" s="336"/>
      <c r="G812" s="336"/>
      <c r="H812" s="336"/>
      <c r="I812" s="336"/>
      <c r="J812" s="336"/>
      <c r="K812" s="336"/>
      <c r="L812" s="343"/>
      <c r="M812" s="335"/>
      <c r="N812" s="335"/>
      <c r="O812" s="335"/>
      <c r="P812" s="331"/>
      <c r="Q812" s="332"/>
      <c r="W812" s="60"/>
    </row>
    <row r="813" spans="1:23" ht="14.25">
      <c r="A813" s="335"/>
      <c r="B813" s="335"/>
      <c r="C813" s="335"/>
      <c r="D813" s="336"/>
      <c r="E813" s="336"/>
      <c r="F813" s="336"/>
      <c r="G813" s="336"/>
      <c r="H813" s="336"/>
      <c r="I813" s="336"/>
      <c r="J813" s="336"/>
      <c r="K813" s="336"/>
      <c r="L813" s="343"/>
      <c r="M813" s="335"/>
      <c r="N813" s="335"/>
      <c r="O813" s="335"/>
      <c r="P813" s="331"/>
      <c r="Q813" s="332"/>
      <c r="W813" s="60"/>
    </row>
    <row r="814" spans="1:23" ht="14.25">
      <c r="A814" s="335"/>
      <c r="B814" s="335"/>
      <c r="C814" s="335"/>
      <c r="D814" s="336"/>
      <c r="E814" s="336"/>
      <c r="F814" s="336"/>
      <c r="G814" s="336"/>
      <c r="H814" s="336"/>
      <c r="I814" s="336"/>
      <c r="J814" s="336"/>
      <c r="K814" s="336"/>
      <c r="L814" s="343"/>
      <c r="M814" s="335"/>
      <c r="N814" s="335"/>
      <c r="O814" s="335"/>
      <c r="P814" s="331"/>
      <c r="Q814" s="332"/>
      <c r="W814" s="60"/>
    </row>
    <row r="815" spans="1:23" ht="14.25">
      <c r="A815" s="335"/>
      <c r="B815" s="335"/>
      <c r="C815" s="335"/>
      <c r="D815" s="336"/>
      <c r="E815" s="336"/>
      <c r="F815" s="336"/>
      <c r="G815" s="336"/>
      <c r="H815" s="336"/>
      <c r="I815" s="336"/>
      <c r="J815" s="336"/>
      <c r="K815" s="336"/>
      <c r="L815" s="343"/>
      <c r="M815" s="335"/>
      <c r="N815" s="335"/>
      <c r="O815" s="335"/>
      <c r="P815" s="331"/>
      <c r="Q815" s="332"/>
      <c r="W815" s="60"/>
    </row>
    <row r="816" spans="1:23" ht="14.25">
      <c r="A816" s="335"/>
      <c r="B816" s="335"/>
      <c r="C816" s="335"/>
      <c r="D816" s="336"/>
      <c r="E816" s="336"/>
      <c r="F816" s="336"/>
      <c r="G816" s="336"/>
      <c r="H816" s="336"/>
      <c r="I816" s="336"/>
      <c r="J816" s="336"/>
      <c r="K816" s="336"/>
      <c r="L816" s="343"/>
      <c r="M816" s="335"/>
      <c r="N816" s="335"/>
      <c r="O816" s="335"/>
      <c r="P816" s="331"/>
      <c r="Q816" s="332"/>
      <c r="W816" s="60"/>
    </row>
    <row r="817" spans="1:23" ht="14.25">
      <c r="A817" s="335"/>
      <c r="B817" s="335"/>
      <c r="C817" s="335"/>
      <c r="D817" s="336"/>
      <c r="E817" s="336"/>
      <c r="F817" s="336"/>
      <c r="G817" s="336"/>
      <c r="H817" s="336"/>
      <c r="I817" s="336"/>
      <c r="J817" s="336"/>
      <c r="K817" s="336"/>
      <c r="L817" s="343"/>
      <c r="M817" s="335"/>
      <c r="N817" s="335"/>
      <c r="O817" s="335"/>
      <c r="P817" s="331"/>
      <c r="Q817" s="332"/>
      <c r="W817" s="60"/>
    </row>
    <row r="818" spans="1:23" ht="14.25">
      <c r="A818" s="335"/>
      <c r="B818" s="335"/>
      <c r="C818" s="335"/>
      <c r="D818" s="336"/>
      <c r="E818" s="336"/>
      <c r="F818" s="336"/>
      <c r="G818" s="336"/>
      <c r="H818" s="336"/>
      <c r="I818" s="336"/>
      <c r="J818" s="336"/>
      <c r="K818" s="336"/>
      <c r="L818" s="343"/>
      <c r="M818" s="335"/>
      <c r="N818" s="335"/>
      <c r="O818" s="335"/>
      <c r="P818" s="331"/>
      <c r="Q818" s="332"/>
      <c r="W818" s="60"/>
    </row>
    <row r="819" spans="1:23" ht="14.25">
      <c r="A819" s="335"/>
      <c r="B819" s="335"/>
      <c r="C819" s="335"/>
      <c r="D819" s="336"/>
      <c r="E819" s="336"/>
      <c r="F819" s="336"/>
      <c r="G819" s="336"/>
      <c r="H819" s="336"/>
      <c r="I819" s="336"/>
      <c r="J819" s="336"/>
      <c r="K819" s="336"/>
      <c r="L819" s="343"/>
      <c r="M819" s="335"/>
      <c r="N819" s="335"/>
      <c r="O819" s="335"/>
      <c r="P819" s="331"/>
      <c r="Q819" s="332"/>
      <c r="W819" s="60"/>
    </row>
    <row r="820" spans="1:23" ht="14.25">
      <c r="A820" s="335"/>
      <c r="B820" s="335"/>
      <c r="C820" s="335"/>
      <c r="D820" s="336"/>
      <c r="E820" s="336"/>
      <c r="F820" s="336"/>
      <c r="G820" s="336"/>
      <c r="H820" s="336"/>
      <c r="I820" s="336"/>
      <c r="J820" s="336"/>
      <c r="K820" s="336"/>
      <c r="L820" s="343"/>
      <c r="M820" s="335"/>
      <c r="N820" s="335"/>
      <c r="O820" s="335"/>
      <c r="P820" s="331"/>
      <c r="Q820" s="332"/>
      <c r="W820" s="60"/>
    </row>
    <row r="821" spans="1:23" ht="14.25">
      <c r="A821" s="335"/>
      <c r="B821" s="335"/>
      <c r="C821" s="335"/>
      <c r="D821" s="336"/>
      <c r="E821" s="336"/>
      <c r="F821" s="336"/>
      <c r="G821" s="336"/>
      <c r="H821" s="336"/>
      <c r="I821" s="336"/>
      <c r="J821" s="336"/>
      <c r="K821" s="336"/>
      <c r="L821" s="343"/>
      <c r="M821" s="335"/>
      <c r="N821" s="335"/>
      <c r="O821" s="335"/>
      <c r="P821" s="331"/>
      <c r="Q821" s="332"/>
      <c r="W821" s="60"/>
    </row>
    <row r="822" spans="1:23" ht="14.25">
      <c r="A822" s="335"/>
      <c r="B822" s="335"/>
      <c r="C822" s="335"/>
      <c r="D822" s="336"/>
      <c r="E822" s="336"/>
      <c r="F822" s="336"/>
      <c r="G822" s="336"/>
      <c r="H822" s="336"/>
      <c r="I822" s="336"/>
      <c r="J822" s="336"/>
      <c r="K822" s="336"/>
      <c r="L822" s="343"/>
      <c r="M822" s="335"/>
      <c r="N822" s="335"/>
      <c r="O822" s="335"/>
      <c r="P822" s="331"/>
      <c r="Q822" s="332"/>
      <c r="W822" s="60"/>
    </row>
    <row r="823" spans="1:23" ht="14.25">
      <c r="A823" s="335"/>
      <c r="B823" s="335"/>
      <c r="C823" s="335"/>
      <c r="D823" s="336"/>
      <c r="E823" s="336"/>
      <c r="F823" s="336"/>
      <c r="G823" s="336"/>
      <c r="H823" s="336"/>
      <c r="I823" s="336"/>
      <c r="J823" s="336"/>
      <c r="K823" s="336"/>
      <c r="L823" s="343"/>
      <c r="M823" s="335"/>
      <c r="N823" s="335"/>
      <c r="O823" s="335"/>
      <c r="P823" s="331"/>
      <c r="Q823" s="332"/>
      <c r="W823" s="60"/>
    </row>
    <row r="824" spans="1:23" ht="14.25">
      <c r="A824" s="335"/>
      <c r="B824" s="335"/>
      <c r="C824" s="335"/>
      <c r="D824" s="336"/>
      <c r="E824" s="336"/>
      <c r="F824" s="336"/>
      <c r="G824" s="336"/>
      <c r="H824" s="336"/>
      <c r="I824" s="336"/>
      <c r="J824" s="336"/>
      <c r="K824" s="336"/>
      <c r="L824" s="343"/>
      <c r="M824" s="335"/>
      <c r="N824" s="335"/>
      <c r="O824" s="335"/>
      <c r="P824" s="331"/>
      <c r="Q824" s="332"/>
      <c r="W824" s="60"/>
    </row>
    <row r="825" spans="1:23" ht="14.25">
      <c r="A825" s="335"/>
      <c r="B825" s="335"/>
      <c r="C825" s="335"/>
      <c r="D825" s="336"/>
      <c r="E825" s="336"/>
      <c r="F825" s="336"/>
      <c r="G825" s="336"/>
      <c r="H825" s="336"/>
      <c r="I825" s="336"/>
      <c r="J825" s="336"/>
      <c r="K825" s="336"/>
      <c r="L825" s="343"/>
      <c r="M825" s="335"/>
      <c r="N825" s="335"/>
      <c r="O825" s="335"/>
      <c r="P825" s="331"/>
      <c r="Q825" s="332"/>
      <c r="W825" s="60"/>
    </row>
    <row r="826" spans="1:23" ht="14.25">
      <c r="A826" s="335"/>
      <c r="B826" s="335"/>
      <c r="C826" s="335"/>
      <c r="D826" s="336"/>
      <c r="E826" s="336"/>
      <c r="F826" s="336"/>
      <c r="G826" s="336"/>
      <c r="H826" s="336"/>
      <c r="I826" s="336"/>
      <c r="J826" s="336"/>
      <c r="K826" s="336"/>
      <c r="L826" s="343"/>
      <c r="M826" s="335"/>
      <c r="N826" s="335"/>
      <c r="O826" s="335"/>
      <c r="P826" s="331"/>
      <c r="Q826" s="332"/>
      <c r="W826" s="60"/>
    </row>
    <row r="827" spans="1:23" ht="14.25">
      <c r="A827" s="335"/>
      <c r="B827" s="335"/>
      <c r="C827" s="335"/>
      <c r="D827" s="336"/>
      <c r="E827" s="336"/>
      <c r="F827" s="336"/>
      <c r="G827" s="336"/>
      <c r="H827" s="336"/>
      <c r="I827" s="336"/>
      <c r="J827" s="336"/>
      <c r="K827" s="336"/>
      <c r="L827" s="343"/>
      <c r="M827" s="335"/>
      <c r="N827" s="335"/>
      <c r="O827" s="335"/>
      <c r="P827" s="331"/>
      <c r="Q827" s="332"/>
      <c r="W827" s="60"/>
    </row>
    <row r="828" spans="1:23" ht="14.25">
      <c r="A828" s="335"/>
      <c r="B828" s="335"/>
      <c r="C828" s="335"/>
      <c r="D828" s="336"/>
      <c r="E828" s="336"/>
      <c r="F828" s="336"/>
      <c r="G828" s="336"/>
      <c r="H828" s="336"/>
      <c r="I828" s="336"/>
      <c r="J828" s="336"/>
      <c r="K828" s="336"/>
      <c r="L828" s="343"/>
      <c r="M828" s="335"/>
      <c r="N828" s="335"/>
      <c r="O828" s="335"/>
      <c r="P828" s="331"/>
      <c r="Q828" s="332"/>
      <c r="W828" s="60"/>
    </row>
    <row r="829" spans="1:23" ht="14.25">
      <c r="A829" s="335"/>
      <c r="B829" s="335"/>
      <c r="C829" s="335"/>
      <c r="D829" s="336"/>
      <c r="E829" s="336"/>
      <c r="F829" s="336"/>
      <c r="G829" s="336"/>
      <c r="H829" s="336"/>
      <c r="I829" s="336"/>
      <c r="J829" s="336"/>
      <c r="K829" s="336"/>
      <c r="L829" s="343"/>
      <c r="M829" s="335"/>
      <c r="N829" s="335"/>
      <c r="O829" s="335"/>
      <c r="P829" s="331"/>
      <c r="Q829" s="332"/>
      <c r="W829" s="60"/>
    </row>
    <row r="830" spans="1:23" ht="14.25">
      <c r="A830" s="335"/>
      <c r="B830" s="335"/>
      <c r="C830" s="335"/>
      <c r="D830" s="336"/>
      <c r="E830" s="336"/>
      <c r="F830" s="336"/>
      <c r="G830" s="336"/>
      <c r="H830" s="336"/>
      <c r="I830" s="336"/>
      <c r="J830" s="336"/>
      <c r="K830" s="336"/>
      <c r="L830" s="343"/>
      <c r="M830" s="335"/>
      <c r="N830" s="335"/>
      <c r="O830" s="335"/>
      <c r="P830" s="331"/>
      <c r="Q830" s="332"/>
      <c r="W830" s="60"/>
    </row>
    <row r="831" spans="1:23" ht="14.25">
      <c r="A831" s="335"/>
      <c r="B831" s="335"/>
      <c r="C831" s="335"/>
      <c r="D831" s="336"/>
      <c r="E831" s="336"/>
      <c r="F831" s="336"/>
      <c r="G831" s="336"/>
      <c r="H831" s="336"/>
      <c r="I831" s="336"/>
      <c r="J831" s="336"/>
      <c r="K831" s="336"/>
      <c r="L831" s="343"/>
      <c r="M831" s="335"/>
      <c r="N831" s="335"/>
      <c r="O831" s="335"/>
      <c r="P831" s="331"/>
      <c r="Q831" s="332"/>
      <c r="W831" s="60"/>
    </row>
    <row r="832" spans="1:23" ht="14.25">
      <c r="A832" s="335"/>
      <c r="B832" s="335"/>
      <c r="C832" s="335"/>
      <c r="D832" s="336"/>
      <c r="E832" s="336"/>
      <c r="F832" s="336"/>
      <c r="G832" s="336"/>
      <c r="H832" s="336"/>
      <c r="I832" s="336"/>
      <c r="J832" s="336"/>
      <c r="K832" s="336"/>
      <c r="L832" s="343"/>
      <c r="M832" s="335"/>
      <c r="N832" s="335"/>
      <c r="O832" s="335"/>
      <c r="P832" s="331"/>
      <c r="Q832" s="332"/>
      <c r="W832" s="60"/>
    </row>
    <row r="833" spans="1:23" ht="14.25">
      <c r="A833" s="335"/>
      <c r="B833" s="335"/>
      <c r="C833" s="335"/>
      <c r="D833" s="336"/>
      <c r="E833" s="336"/>
      <c r="F833" s="336"/>
      <c r="G833" s="336"/>
      <c r="H833" s="336"/>
      <c r="I833" s="336"/>
      <c r="J833" s="336"/>
      <c r="K833" s="336"/>
      <c r="L833" s="343"/>
      <c r="M833" s="335"/>
      <c r="N833" s="335"/>
      <c r="O833" s="335"/>
      <c r="P833" s="331"/>
      <c r="Q833" s="332"/>
      <c r="W833" s="60"/>
    </row>
    <row r="834" spans="1:23" ht="14.25">
      <c r="A834" s="335"/>
      <c r="B834" s="335"/>
      <c r="C834" s="335"/>
      <c r="D834" s="336"/>
      <c r="E834" s="336"/>
      <c r="F834" s="336"/>
      <c r="G834" s="336"/>
      <c r="H834" s="336"/>
      <c r="I834" s="336"/>
      <c r="J834" s="336"/>
      <c r="K834" s="336"/>
      <c r="L834" s="343"/>
      <c r="M834" s="335"/>
      <c r="N834" s="335"/>
      <c r="O834" s="335"/>
      <c r="P834" s="331"/>
      <c r="Q834" s="332"/>
      <c r="W834" s="60"/>
    </row>
    <row r="835" spans="1:23" ht="14.25">
      <c r="A835" s="335"/>
      <c r="B835" s="335"/>
      <c r="C835" s="335"/>
      <c r="D835" s="336"/>
      <c r="E835" s="336"/>
      <c r="F835" s="336"/>
      <c r="G835" s="336"/>
      <c r="H835" s="336"/>
      <c r="I835" s="336"/>
      <c r="J835" s="336"/>
      <c r="K835" s="336"/>
      <c r="L835" s="343"/>
      <c r="M835" s="335"/>
      <c r="N835" s="335"/>
      <c r="O835" s="335"/>
      <c r="P835" s="331"/>
      <c r="Q835" s="332"/>
      <c r="W835" s="60"/>
    </row>
    <row r="836" spans="1:23" ht="14.25">
      <c r="A836" s="335"/>
      <c r="B836" s="335"/>
      <c r="C836" s="335"/>
      <c r="D836" s="336"/>
      <c r="E836" s="336"/>
      <c r="F836" s="336"/>
      <c r="G836" s="336"/>
      <c r="H836" s="336"/>
      <c r="I836" s="336"/>
      <c r="J836" s="336"/>
      <c r="K836" s="336"/>
      <c r="L836" s="343"/>
      <c r="M836" s="335"/>
      <c r="N836" s="335"/>
      <c r="O836" s="335"/>
      <c r="P836" s="331"/>
      <c r="Q836" s="332"/>
      <c r="W836" s="60"/>
    </row>
    <row r="837" spans="1:23" ht="14.25">
      <c r="A837" s="335"/>
      <c r="B837" s="335"/>
      <c r="C837" s="335"/>
      <c r="D837" s="336"/>
      <c r="E837" s="336"/>
      <c r="F837" s="336"/>
      <c r="G837" s="336"/>
      <c r="H837" s="336"/>
      <c r="I837" s="336"/>
      <c r="J837" s="336"/>
      <c r="K837" s="336"/>
      <c r="L837" s="343"/>
      <c r="M837" s="335"/>
      <c r="N837" s="335"/>
      <c r="O837" s="335"/>
      <c r="P837" s="331"/>
      <c r="Q837" s="332"/>
      <c r="W837" s="60"/>
    </row>
    <row r="838" spans="1:23" ht="14.25">
      <c r="A838" s="335"/>
      <c r="B838" s="335"/>
      <c r="C838" s="335"/>
      <c r="D838" s="336"/>
      <c r="E838" s="336"/>
      <c r="F838" s="336"/>
      <c r="G838" s="336"/>
      <c r="H838" s="336"/>
      <c r="I838" s="336"/>
      <c r="J838" s="336"/>
      <c r="K838" s="336"/>
      <c r="L838" s="343"/>
      <c r="M838" s="335"/>
      <c r="N838" s="335"/>
      <c r="O838" s="335"/>
      <c r="P838" s="331"/>
      <c r="Q838" s="332"/>
      <c r="W838" s="60"/>
    </row>
    <row r="839" spans="1:23" ht="14.25">
      <c r="A839" s="335"/>
      <c r="B839" s="335"/>
      <c r="C839" s="335"/>
      <c r="D839" s="336"/>
      <c r="E839" s="336"/>
      <c r="F839" s="336"/>
      <c r="G839" s="336"/>
      <c r="H839" s="336"/>
      <c r="I839" s="336"/>
      <c r="J839" s="336"/>
      <c r="K839" s="336"/>
      <c r="L839" s="343"/>
      <c r="M839" s="335"/>
      <c r="N839" s="335"/>
      <c r="O839" s="335"/>
      <c r="P839" s="331"/>
      <c r="Q839" s="332"/>
      <c r="W839" s="60"/>
    </row>
    <row r="840" spans="1:23" ht="14.25">
      <c r="A840" s="335"/>
      <c r="B840" s="335"/>
      <c r="C840" s="335"/>
      <c r="D840" s="336"/>
      <c r="E840" s="336"/>
      <c r="F840" s="336"/>
      <c r="G840" s="336"/>
      <c r="H840" s="336"/>
      <c r="I840" s="336"/>
      <c r="J840" s="336"/>
      <c r="K840" s="336"/>
      <c r="L840" s="343"/>
      <c r="M840" s="335"/>
      <c r="N840" s="335"/>
      <c r="O840" s="335"/>
      <c r="P840" s="331"/>
      <c r="Q840" s="332"/>
      <c r="W840" s="60"/>
    </row>
    <row r="841" spans="1:23" ht="14.25">
      <c r="A841" s="335"/>
      <c r="B841" s="335"/>
      <c r="C841" s="335"/>
      <c r="D841" s="336"/>
      <c r="E841" s="336"/>
      <c r="F841" s="336"/>
      <c r="G841" s="336"/>
      <c r="H841" s="336"/>
      <c r="I841" s="336"/>
      <c r="J841" s="336"/>
      <c r="K841" s="336"/>
      <c r="L841" s="343"/>
      <c r="M841" s="335"/>
      <c r="N841" s="335"/>
      <c r="O841" s="335"/>
      <c r="P841" s="331"/>
      <c r="Q841" s="332"/>
      <c r="W841" s="60"/>
    </row>
    <row r="842" spans="1:23" ht="14.25">
      <c r="A842" s="335"/>
      <c r="B842" s="335"/>
      <c r="C842" s="335"/>
      <c r="D842" s="336"/>
      <c r="E842" s="336"/>
      <c r="F842" s="336"/>
      <c r="G842" s="336"/>
      <c r="H842" s="336"/>
      <c r="I842" s="336"/>
      <c r="J842" s="336"/>
      <c r="K842" s="336"/>
      <c r="L842" s="343"/>
      <c r="M842" s="335"/>
      <c r="N842" s="335"/>
      <c r="O842" s="335"/>
      <c r="P842" s="331"/>
      <c r="Q842" s="332"/>
      <c r="W842" s="60"/>
    </row>
    <row r="843" spans="1:23" ht="14.25">
      <c r="A843" s="335"/>
      <c r="B843" s="335"/>
      <c r="C843" s="335"/>
      <c r="D843" s="336"/>
      <c r="E843" s="336"/>
      <c r="F843" s="336"/>
      <c r="G843" s="336"/>
      <c r="H843" s="336"/>
      <c r="I843" s="336"/>
      <c r="J843" s="336"/>
      <c r="K843" s="336"/>
      <c r="L843" s="343"/>
      <c r="M843" s="335"/>
      <c r="N843" s="335"/>
      <c r="O843" s="335"/>
      <c r="P843" s="331"/>
      <c r="Q843" s="332"/>
      <c r="W843" s="60"/>
    </row>
    <row r="844" spans="1:23" ht="14.25">
      <c r="A844" s="335"/>
      <c r="B844" s="335"/>
      <c r="C844" s="335"/>
      <c r="D844" s="336"/>
      <c r="E844" s="336"/>
      <c r="F844" s="336"/>
      <c r="G844" s="336"/>
      <c r="H844" s="336"/>
      <c r="I844" s="336"/>
      <c r="J844" s="336"/>
      <c r="K844" s="336"/>
      <c r="L844" s="343"/>
      <c r="M844" s="335"/>
      <c r="N844" s="335"/>
      <c r="O844" s="335"/>
      <c r="P844" s="331"/>
      <c r="Q844" s="332"/>
      <c r="W844" s="60"/>
    </row>
    <row r="845" spans="1:23" ht="14.25">
      <c r="A845" s="335"/>
      <c r="B845" s="335"/>
      <c r="C845" s="335"/>
      <c r="D845" s="336"/>
      <c r="E845" s="336"/>
      <c r="F845" s="336"/>
      <c r="G845" s="336"/>
      <c r="H845" s="336"/>
      <c r="I845" s="336"/>
      <c r="J845" s="336"/>
      <c r="K845" s="336"/>
      <c r="L845" s="343"/>
      <c r="M845" s="335"/>
      <c r="N845" s="335"/>
      <c r="O845" s="335"/>
      <c r="P845" s="331"/>
      <c r="Q845" s="332"/>
      <c r="W845" s="60"/>
    </row>
    <row r="846" spans="1:23" ht="14.25">
      <c r="A846" s="335"/>
      <c r="B846" s="335"/>
      <c r="C846" s="335"/>
      <c r="D846" s="336"/>
      <c r="E846" s="336"/>
      <c r="F846" s="336"/>
      <c r="G846" s="336"/>
      <c r="H846" s="336"/>
      <c r="I846" s="336"/>
      <c r="J846" s="336"/>
      <c r="K846" s="336"/>
      <c r="L846" s="343"/>
      <c r="M846" s="335"/>
      <c r="N846" s="335"/>
      <c r="O846" s="335"/>
      <c r="P846" s="331"/>
      <c r="Q846" s="332"/>
      <c r="W846" s="60"/>
    </row>
    <row r="847" spans="1:23" ht="14.25">
      <c r="A847" s="335"/>
      <c r="B847" s="335"/>
      <c r="C847" s="335"/>
      <c r="D847" s="336"/>
      <c r="E847" s="336"/>
      <c r="F847" s="336"/>
      <c r="G847" s="336"/>
      <c r="H847" s="336"/>
      <c r="I847" s="336"/>
      <c r="J847" s="336"/>
      <c r="K847" s="336"/>
      <c r="L847" s="343"/>
      <c r="M847" s="335"/>
      <c r="N847" s="335"/>
      <c r="O847" s="335"/>
      <c r="P847" s="331"/>
      <c r="Q847" s="332"/>
      <c r="W847" s="60"/>
    </row>
    <row r="848" spans="1:23" ht="14.25">
      <c r="A848" s="335"/>
      <c r="B848" s="335"/>
      <c r="C848" s="335"/>
      <c r="D848" s="336"/>
      <c r="E848" s="336"/>
      <c r="F848" s="336"/>
      <c r="G848" s="336"/>
      <c r="H848" s="336"/>
      <c r="I848" s="336"/>
      <c r="J848" s="336"/>
      <c r="K848" s="336"/>
      <c r="L848" s="343"/>
      <c r="M848" s="335"/>
      <c r="N848" s="335"/>
      <c r="O848" s="335"/>
      <c r="P848" s="331"/>
      <c r="Q848" s="332"/>
      <c r="W848" s="60"/>
    </row>
    <row r="849" spans="1:23" ht="14.25">
      <c r="A849" s="335"/>
      <c r="B849" s="335"/>
      <c r="C849" s="335"/>
      <c r="D849" s="336"/>
      <c r="E849" s="336"/>
      <c r="F849" s="336"/>
      <c r="G849" s="336"/>
      <c r="H849" s="336"/>
      <c r="I849" s="336"/>
      <c r="J849" s="336"/>
      <c r="K849" s="336"/>
      <c r="L849" s="343"/>
      <c r="M849" s="335"/>
      <c r="N849" s="335"/>
      <c r="O849" s="335"/>
      <c r="P849" s="331"/>
      <c r="Q849" s="332"/>
      <c r="W849" s="60"/>
    </row>
    <row r="850" spans="1:23" ht="14.25">
      <c r="A850" s="335"/>
      <c r="B850" s="335"/>
      <c r="C850" s="335"/>
      <c r="D850" s="336"/>
      <c r="E850" s="336"/>
      <c r="F850" s="336"/>
      <c r="G850" s="336"/>
      <c r="H850" s="336"/>
      <c r="I850" s="336"/>
      <c r="J850" s="336"/>
      <c r="K850" s="336"/>
      <c r="L850" s="343"/>
      <c r="M850" s="335"/>
      <c r="N850" s="335"/>
      <c r="O850" s="335"/>
      <c r="P850" s="331"/>
      <c r="Q850" s="332"/>
      <c r="W850" s="60"/>
    </row>
    <row r="851" spans="1:23" ht="14.25">
      <c r="A851" s="335"/>
      <c r="B851" s="335"/>
      <c r="C851" s="335"/>
      <c r="D851" s="336"/>
      <c r="E851" s="336"/>
      <c r="F851" s="336"/>
      <c r="G851" s="336"/>
      <c r="H851" s="336"/>
      <c r="I851" s="336"/>
      <c r="J851" s="336"/>
      <c r="K851" s="336"/>
      <c r="L851" s="343"/>
      <c r="M851" s="335"/>
      <c r="N851" s="335"/>
      <c r="O851" s="335"/>
      <c r="P851" s="331"/>
      <c r="Q851" s="332"/>
      <c r="W851" s="60"/>
    </row>
    <row r="852" spans="1:23" ht="14.25">
      <c r="A852" s="335"/>
      <c r="B852" s="335"/>
      <c r="C852" s="335"/>
      <c r="D852" s="336"/>
      <c r="E852" s="336"/>
      <c r="F852" s="336"/>
      <c r="G852" s="336"/>
      <c r="H852" s="336"/>
      <c r="I852" s="336"/>
      <c r="J852" s="336"/>
      <c r="K852" s="336"/>
      <c r="L852" s="343"/>
      <c r="M852" s="335"/>
      <c r="N852" s="335"/>
      <c r="O852" s="335"/>
      <c r="P852" s="331"/>
      <c r="Q852" s="332"/>
      <c r="W852" s="60"/>
    </row>
    <row r="853" spans="1:23" ht="14.25">
      <c r="A853" s="335"/>
      <c r="B853" s="335"/>
      <c r="C853" s="335"/>
      <c r="D853" s="336"/>
      <c r="E853" s="336"/>
      <c r="F853" s="336"/>
      <c r="G853" s="336"/>
      <c r="H853" s="336"/>
      <c r="I853" s="336"/>
      <c r="J853" s="336"/>
      <c r="K853" s="336"/>
      <c r="L853" s="343"/>
      <c r="M853" s="335"/>
      <c r="N853" s="335"/>
      <c r="O853" s="335"/>
      <c r="P853" s="331"/>
      <c r="Q853" s="332"/>
      <c r="W853" s="60"/>
    </row>
    <row r="854" spans="1:23" ht="14.25">
      <c r="A854" s="335"/>
      <c r="B854" s="335"/>
      <c r="C854" s="335"/>
      <c r="D854" s="336"/>
      <c r="E854" s="336"/>
      <c r="F854" s="336"/>
      <c r="G854" s="336"/>
      <c r="H854" s="336"/>
      <c r="I854" s="336"/>
      <c r="J854" s="336"/>
      <c r="K854" s="336"/>
      <c r="L854" s="343"/>
      <c r="M854" s="335"/>
      <c r="N854" s="335"/>
      <c r="O854" s="335"/>
      <c r="P854" s="331"/>
      <c r="Q854" s="332"/>
      <c r="W854" s="60"/>
    </row>
    <row r="855" spans="1:23" ht="14.25">
      <c r="A855" s="335"/>
      <c r="B855" s="335"/>
      <c r="C855" s="335"/>
      <c r="D855" s="336"/>
      <c r="E855" s="336"/>
      <c r="F855" s="336"/>
      <c r="G855" s="336"/>
      <c r="H855" s="336"/>
      <c r="I855" s="336"/>
      <c r="J855" s="336"/>
      <c r="K855" s="336"/>
      <c r="L855" s="343"/>
      <c r="M855" s="335"/>
      <c r="N855" s="335"/>
      <c r="O855" s="335"/>
      <c r="P855" s="331"/>
      <c r="Q855" s="332"/>
      <c r="W855" s="60"/>
    </row>
    <row r="856" spans="1:23" ht="14.25">
      <c r="A856" s="335"/>
      <c r="B856" s="335"/>
      <c r="C856" s="335"/>
      <c r="D856" s="336"/>
      <c r="E856" s="336"/>
      <c r="F856" s="336"/>
      <c r="G856" s="336"/>
      <c r="H856" s="336"/>
      <c r="I856" s="336"/>
      <c r="J856" s="336"/>
      <c r="K856" s="336"/>
      <c r="L856" s="343"/>
      <c r="M856" s="335"/>
      <c r="N856" s="335"/>
      <c r="O856" s="335"/>
      <c r="P856" s="331"/>
      <c r="Q856" s="332"/>
      <c r="W856" s="60"/>
    </row>
    <row r="857" spans="1:23" ht="14.25">
      <c r="A857" s="335"/>
      <c r="B857" s="335"/>
      <c r="C857" s="335"/>
      <c r="D857" s="336"/>
      <c r="E857" s="336"/>
      <c r="F857" s="336"/>
      <c r="G857" s="336"/>
      <c r="H857" s="336"/>
      <c r="I857" s="336"/>
      <c r="J857" s="336"/>
      <c r="K857" s="336"/>
      <c r="L857" s="343"/>
      <c r="M857" s="335"/>
      <c r="N857" s="335"/>
      <c r="O857" s="335"/>
      <c r="P857" s="331"/>
      <c r="Q857" s="332"/>
      <c r="W857" s="60"/>
    </row>
    <row r="858" spans="1:23" ht="14.25">
      <c r="A858" s="335"/>
      <c r="B858" s="335"/>
      <c r="C858" s="335"/>
      <c r="D858" s="336"/>
      <c r="E858" s="336"/>
      <c r="F858" s="336"/>
      <c r="G858" s="336"/>
      <c r="H858" s="336"/>
      <c r="I858" s="336"/>
      <c r="J858" s="336"/>
      <c r="K858" s="336"/>
      <c r="L858" s="343"/>
      <c r="M858" s="335"/>
      <c r="N858" s="335"/>
      <c r="O858" s="335"/>
      <c r="P858" s="331"/>
      <c r="Q858" s="332"/>
      <c r="W858" s="60"/>
    </row>
    <row r="859" spans="1:23" ht="14.25">
      <c r="A859" s="335"/>
      <c r="B859" s="335"/>
      <c r="C859" s="335"/>
      <c r="D859" s="336"/>
      <c r="E859" s="336"/>
      <c r="F859" s="336"/>
      <c r="G859" s="336"/>
      <c r="H859" s="336"/>
      <c r="I859" s="336"/>
      <c r="J859" s="336"/>
      <c r="K859" s="336"/>
      <c r="L859" s="343"/>
      <c r="M859" s="335"/>
      <c r="N859" s="335"/>
      <c r="O859" s="335"/>
      <c r="P859" s="331"/>
      <c r="Q859" s="332"/>
      <c r="W859" s="60"/>
    </row>
    <row r="860" spans="1:23" ht="14.25">
      <c r="A860" s="335"/>
      <c r="B860" s="335"/>
      <c r="C860" s="335"/>
      <c r="D860" s="336"/>
      <c r="E860" s="336"/>
      <c r="F860" s="336"/>
      <c r="G860" s="336"/>
      <c r="H860" s="336"/>
      <c r="I860" s="336"/>
      <c r="J860" s="336"/>
      <c r="K860" s="336"/>
      <c r="L860" s="343"/>
      <c r="M860" s="335"/>
      <c r="N860" s="335"/>
      <c r="O860" s="335"/>
      <c r="P860" s="331"/>
      <c r="Q860" s="332"/>
      <c r="W860" s="60"/>
    </row>
    <row r="861" spans="1:23" ht="14.25">
      <c r="A861" s="335"/>
      <c r="B861" s="335"/>
      <c r="C861" s="335"/>
      <c r="D861" s="336"/>
      <c r="E861" s="336"/>
      <c r="F861" s="336"/>
      <c r="G861" s="336"/>
      <c r="H861" s="336"/>
      <c r="I861" s="336"/>
      <c r="J861" s="336"/>
      <c r="K861" s="336"/>
      <c r="L861" s="343"/>
      <c r="M861" s="335"/>
      <c r="N861" s="335"/>
      <c r="O861" s="335"/>
      <c r="P861" s="331"/>
      <c r="Q861" s="332"/>
      <c r="W861" s="60"/>
    </row>
    <row r="862" spans="1:23" ht="14.25">
      <c r="A862" s="335"/>
      <c r="B862" s="335"/>
      <c r="C862" s="335"/>
      <c r="D862" s="336"/>
      <c r="E862" s="336"/>
      <c r="F862" s="336"/>
      <c r="G862" s="336"/>
      <c r="H862" s="336"/>
      <c r="I862" s="336"/>
      <c r="J862" s="336"/>
      <c r="K862" s="336"/>
      <c r="L862" s="343"/>
      <c r="M862" s="335"/>
      <c r="N862" s="335"/>
      <c r="O862" s="335"/>
      <c r="P862" s="331"/>
      <c r="Q862" s="332"/>
      <c r="W862" s="60"/>
    </row>
    <row r="863" spans="1:23" ht="14.25">
      <c r="A863" s="335"/>
      <c r="B863" s="335"/>
      <c r="C863" s="335"/>
      <c r="D863" s="336"/>
      <c r="E863" s="336"/>
      <c r="F863" s="336"/>
      <c r="G863" s="336"/>
      <c r="H863" s="336"/>
      <c r="I863" s="336"/>
      <c r="J863" s="336"/>
      <c r="K863" s="336"/>
      <c r="L863" s="343"/>
      <c r="M863" s="335"/>
      <c r="N863" s="335"/>
      <c r="O863" s="335"/>
      <c r="P863" s="331"/>
      <c r="Q863" s="332"/>
      <c r="W863" s="60"/>
    </row>
    <row r="864" spans="1:23" ht="14.25">
      <c r="A864" s="335"/>
      <c r="B864" s="335"/>
      <c r="C864" s="335"/>
      <c r="D864" s="336"/>
      <c r="E864" s="336"/>
      <c r="F864" s="336"/>
      <c r="G864" s="336"/>
      <c r="H864" s="336"/>
      <c r="I864" s="336"/>
      <c r="J864" s="336"/>
      <c r="K864" s="336"/>
      <c r="L864" s="343"/>
      <c r="M864" s="335"/>
      <c r="N864" s="335"/>
      <c r="O864" s="335"/>
      <c r="P864" s="331"/>
      <c r="Q864" s="332"/>
      <c r="W864" s="60"/>
    </row>
    <row r="865" spans="1:23" ht="14.25">
      <c r="A865" s="335"/>
      <c r="B865" s="335"/>
      <c r="C865" s="335"/>
      <c r="D865" s="336"/>
      <c r="E865" s="336"/>
      <c r="F865" s="336"/>
      <c r="G865" s="336"/>
      <c r="H865" s="336"/>
      <c r="I865" s="336"/>
      <c r="J865" s="336"/>
      <c r="K865" s="336"/>
      <c r="L865" s="343"/>
      <c r="M865" s="335"/>
      <c r="N865" s="335"/>
      <c r="O865" s="335"/>
      <c r="P865" s="331"/>
      <c r="Q865" s="332"/>
      <c r="W865" s="60"/>
    </row>
    <row r="866" spans="1:23" ht="14.25">
      <c r="A866" s="335"/>
      <c r="B866" s="335"/>
      <c r="C866" s="335"/>
      <c r="D866" s="336"/>
      <c r="E866" s="336"/>
      <c r="F866" s="336"/>
      <c r="G866" s="336"/>
      <c r="H866" s="336"/>
      <c r="I866" s="336"/>
      <c r="J866" s="336"/>
      <c r="K866" s="336"/>
      <c r="L866" s="343"/>
      <c r="M866" s="335"/>
      <c r="N866" s="335"/>
      <c r="O866" s="335"/>
      <c r="P866" s="331"/>
      <c r="Q866" s="332"/>
      <c r="W866" s="60"/>
    </row>
    <row r="867" spans="1:23" ht="14.25">
      <c r="A867" s="335"/>
      <c r="B867" s="335"/>
      <c r="C867" s="335"/>
      <c r="D867" s="336"/>
      <c r="E867" s="336"/>
      <c r="F867" s="336"/>
      <c r="G867" s="336"/>
      <c r="H867" s="336"/>
      <c r="I867" s="336"/>
      <c r="J867" s="336"/>
      <c r="K867" s="336"/>
      <c r="L867" s="343"/>
      <c r="M867" s="335"/>
      <c r="N867" s="335"/>
      <c r="O867" s="335"/>
      <c r="P867" s="331"/>
      <c r="Q867" s="332"/>
      <c r="W867" s="60"/>
    </row>
    <row r="868" spans="1:23" ht="14.25">
      <c r="A868" s="335"/>
      <c r="B868" s="335"/>
      <c r="C868" s="335"/>
      <c r="D868" s="336"/>
      <c r="E868" s="336"/>
      <c r="F868" s="336"/>
      <c r="G868" s="336"/>
      <c r="H868" s="336"/>
      <c r="I868" s="336"/>
      <c r="J868" s="336"/>
      <c r="K868" s="336"/>
      <c r="L868" s="343"/>
      <c r="M868" s="335"/>
      <c r="N868" s="335"/>
      <c r="O868" s="335"/>
      <c r="P868" s="331"/>
      <c r="Q868" s="332"/>
      <c r="W868" s="60"/>
    </row>
    <row r="869" spans="1:23" ht="14.25">
      <c r="A869" s="335"/>
      <c r="B869" s="335"/>
      <c r="C869" s="335"/>
      <c r="D869" s="336"/>
      <c r="E869" s="336"/>
      <c r="F869" s="336"/>
      <c r="G869" s="336"/>
      <c r="H869" s="336"/>
      <c r="I869" s="336"/>
      <c r="J869" s="336"/>
      <c r="K869" s="336"/>
      <c r="L869" s="343"/>
      <c r="M869" s="335"/>
      <c r="N869" s="335"/>
      <c r="O869" s="335"/>
      <c r="P869" s="331"/>
      <c r="Q869" s="332"/>
      <c r="W869" s="60"/>
    </row>
    <row r="870" spans="1:23" ht="14.25">
      <c r="A870" s="335"/>
      <c r="B870" s="335"/>
      <c r="C870" s="335"/>
      <c r="D870" s="336"/>
      <c r="E870" s="336"/>
      <c r="F870" s="336"/>
      <c r="G870" s="336"/>
      <c r="H870" s="336"/>
      <c r="I870" s="336"/>
      <c r="J870" s="336"/>
      <c r="K870" s="336"/>
      <c r="L870" s="343"/>
      <c r="M870" s="335"/>
      <c r="N870" s="335"/>
      <c r="O870" s="335"/>
      <c r="P870" s="331"/>
      <c r="Q870" s="332"/>
      <c r="W870" s="60"/>
    </row>
    <row r="871" spans="1:23" ht="14.25">
      <c r="A871" s="335"/>
      <c r="B871" s="335"/>
      <c r="C871" s="335"/>
      <c r="D871" s="336"/>
      <c r="E871" s="336"/>
      <c r="F871" s="336"/>
      <c r="G871" s="336"/>
      <c r="H871" s="336"/>
      <c r="I871" s="336"/>
      <c r="J871" s="336"/>
      <c r="K871" s="336"/>
      <c r="L871" s="343"/>
      <c r="M871" s="335"/>
      <c r="N871" s="335"/>
      <c r="O871" s="335"/>
      <c r="P871" s="331"/>
      <c r="Q871" s="332"/>
      <c r="W871" s="60"/>
    </row>
    <row r="872" spans="1:23" ht="14.25">
      <c r="A872" s="335"/>
      <c r="B872" s="335"/>
      <c r="C872" s="335"/>
      <c r="D872" s="336"/>
      <c r="E872" s="336"/>
      <c r="F872" s="336"/>
      <c r="G872" s="336"/>
      <c r="H872" s="336"/>
      <c r="I872" s="336"/>
      <c r="J872" s="336"/>
      <c r="K872" s="336"/>
      <c r="L872" s="343"/>
      <c r="M872" s="335"/>
      <c r="N872" s="335"/>
      <c r="O872" s="335"/>
      <c r="P872" s="331"/>
      <c r="Q872" s="332"/>
      <c r="W872" s="60"/>
    </row>
    <row r="873" spans="1:23" ht="14.25">
      <c r="A873" s="335"/>
      <c r="B873" s="335"/>
      <c r="C873" s="335"/>
      <c r="D873" s="336"/>
      <c r="E873" s="336"/>
      <c r="F873" s="336"/>
      <c r="G873" s="336"/>
      <c r="H873" s="336"/>
      <c r="I873" s="336"/>
      <c r="J873" s="336"/>
      <c r="K873" s="336"/>
      <c r="L873" s="343"/>
      <c r="M873" s="335"/>
      <c r="N873" s="335"/>
      <c r="O873" s="335"/>
      <c r="P873" s="331"/>
      <c r="Q873" s="332"/>
      <c r="W873" s="60"/>
    </row>
    <row r="874" spans="1:23" ht="14.25">
      <c r="A874" s="335"/>
      <c r="B874" s="335"/>
      <c r="C874" s="335"/>
      <c r="D874" s="336"/>
      <c r="E874" s="336"/>
      <c r="F874" s="336"/>
      <c r="G874" s="336"/>
      <c r="H874" s="336"/>
      <c r="I874" s="336"/>
      <c r="J874" s="336"/>
      <c r="K874" s="336"/>
      <c r="L874" s="343"/>
      <c r="M874" s="335"/>
      <c r="N874" s="335"/>
      <c r="O874" s="335"/>
      <c r="P874" s="331"/>
      <c r="Q874" s="332"/>
      <c r="W874" s="60"/>
    </row>
    <row r="875" spans="1:23" ht="14.25">
      <c r="A875" s="335"/>
      <c r="B875" s="335"/>
      <c r="C875" s="335"/>
      <c r="D875" s="336"/>
      <c r="E875" s="336"/>
      <c r="F875" s="336"/>
      <c r="G875" s="336"/>
      <c r="H875" s="336"/>
      <c r="I875" s="336"/>
      <c r="J875" s="336"/>
      <c r="K875" s="336"/>
      <c r="L875" s="343"/>
      <c r="M875" s="335"/>
      <c r="N875" s="335"/>
      <c r="O875" s="335"/>
      <c r="P875" s="331"/>
      <c r="Q875" s="332"/>
      <c r="W875" s="60"/>
    </row>
    <row r="876" spans="1:23" ht="14.25">
      <c r="A876" s="335"/>
      <c r="B876" s="335"/>
      <c r="C876" s="335"/>
      <c r="D876" s="336"/>
      <c r="E876" s="336"/>
      <c r="F876" s="336"/>
      <c r="G876" s="336"/>
      <c r="H876" s="336"/>
      <c r="I876" s="336"/>
      <c r="J876" s="336"/>
      <c r="K876" s="336"/>
      <c r="L876" s="343"/>
      <c r="M876" s="335"/>
      <c r="N876" s="335"/>
      <c r="O876" s="335"/>
      <c r="P876" s="331"/>
      <c r="Q876" s="332"/>
      <c r="W876" s="60"/>
    </row>
    <row r="877" spans="1:23" ht="14.25">
      <c r="A877" s="335"/>
      <c r="B877" s="335"/>
      <c r="C877" s="335"/>
      <c r="D877" s="336"/>
      <c r="E877" s="336"/>
      <c r="F877" s="336"/>
      <c r="G877" s="336"/>
      <c r="H877" s="336"/>
      <c r="I877" s="336"/>
      <c r="J877" s="336"/>
      <c r="K877" s="336"/>
      <c r="L877" s="343"/>
      <c r="M877" s="335"/>
      <c r="N877" s="335"/>
      <c r="O877" s="335"/>
      <c r="P877" s="331"/>
      <c r="Q877" s="332"/>
      <c r="W877" s="60"/>
    </row>
    <row r="878" spans="1:23" ht="14.25">
      <c r="A878" s="335"/>
      <c r="B878" s="335"/>
      <c r="C878" s="335"/>
      <c r="D878" s="336"/>
      <c r="E878" s="336"/>
      <c r="F878" s="336"/>
      <c r="G878" s="336"/>
      <c r="H878" s="336"/>
      <c r="I878" s="336"/>
      <c r="J878" s="336"/>
      <c r="K878" s="336"/>
      <c r="L878" s="343"/>
      <c r="M878" s="335"/>
      <c r="N878" s="335"/>
      <c r="O878" s="335"/>
      <c r="P878" s="331"/>
      <c r="Q878" s="332"/>
      <c r="W878" s="60"/>
    </row>
    <row r="879" spans="1:23" ht="14.25">
      <c r="A879" s="335"/>
      <c r="B879" s="335"/>
      <c r="C879" s="335"/>
      <c r="D879" s="336"/>
      <c r="E879" s="336"/>
      <c r="F879" s="336"/>
      <c r="G879" s="336"/>
      <c r="H879" s="336"/>
      <c r="I879" s="336"/>
      <c r="J879" s="336"/>
      <c r="K879" s="336"/>
      <c r="L879" s="343"/>
      <c r="M879" s="335"/>
      <c r="N879" s="335"/>
      <c r="O879" s="335"/>
      <c r="P879" s="331"/>
      <c r="Q879" s="332"/>
      <c r="W879" s="60"/>
    </row>
    <row r="880" spans="1:23" ht="14.25">
      <c r="A880" s="335"/>
      <c r="B880" s="335"/>
      <c r="C880" s="335"/>
      <c r="D880" s="336"/>
      <c r="E880" s="336"/>
      <c r="F880" s="336"/>
      <c r="G880" s="336"/>
      <c r="H880" s="336"/>
      <c r="I880" s="336"/>
      <c r="J880" s="336"/>
      <c r="K880" s="336"/>
      <c r="L880" s="343"/>
      <c r="M880" s="335"/>
      <c r="N880" s="335"/>
      <c r="O880" s="335"/>
      <c r="P880" s="331"/>
      <c r="Q880" s="332"/>
      <c r="W880" s="60"/>
    </row>
    <row r="881" spans="1:23" ht="14.25">
      <c r="A881" s="335"/>
      <c r="B881" s="335"/>
      <c r="C881" s="335"/>
      <c r="D881" s="336"/>
      <c r="E881" s="336"/>
      <c r="F881" s="336"/>
      <c r="G881" s="336"/>
      <c r="H881" s="336"/>
      <c r="I881" s="336"/>
      <c r="J881" s="336"/>
      <c r="K881" s="336"/>
      <c r="L881" s="343"/>
      <c r="M881" s="335"/>
      <c r="N881" s="335"/>
      <c r="O881" s="335"/>
      <c r="P881" s="331"/>
      <c r="Q881" s="332"/>
      <c r="W881" s="60"/>
    </row>
    <row r="882" spans="1:23" ht="14.25">
      <c r="A882" s="335"/>
      <c r="B882" s="335"/>
      <c r="C882" s="335"/>
      <c r="D882" s="336"/>
      <c r="E882" s="336"/>
      <c r="F882" s="336"/>
      <c r="G882" s="336"/>
      <c r="H882" s="336"/>
      <c r="I882" s="336"/>
      <c r="J882" s="336"/>
      <c r="K882" s="336"/>
      <c r="L882" s="343"/>
      <c r="M882" s="335"/>
      <c r="N882" s="335"/>
      <c r="O882" s="335"/>
      <c r="P882" s="331"/>
      <c r="Q882" s="332"/>
      <c r="W882" s="60"/>
    </row>
    <row r="883" spans="1:23" ht="14.25">
      <c r="A883" s="335"/>
      <c r="B883" s="335"/>
      <c r="C883" s="335"/>
      <c r="D883" s="336"/>
      <c r="E883" s="336"/>
      <c r="F883" s="336"/>
      <c r="G883" s="336"/>
      <c r="H883" s="336"/>
      <c r="I883" s="336"/>
      <c r="J883" s="336"/>
      <c r="K883" s="336"/>
      <c r="L883" s="343"/>
      <c r="M883" s="335"/>
      <c r="N883" s="335"/>
      <c r="O883" s="335"/>
      <c r="P883" s="331"/>
      <c r="Q883" s="332"/>
      <c r="W883" s="60"/>
    </row>
    <row r="884" spans="1:23" ht="14.25">
      <c r="A884" s="335"/>
      <c r="B884" s="335"/>
      <c r="C884" s="335"/>
      <c r="D884" s="336"/>
      <c r="E884" s="336"/>
      <c r="F884" s="336"/>
      <c r="G884" s="336"/>
      <c r="H884" s="336"/>
      <c r="I884" s="336"/>
      <c r="J884" s="336"/>
      <c r="K884" s="336"/>
      <c r="L884" s="343"/>
      <c r="M884" s="335"/>
      <c r="N884" s="335"/>
      <c r="O884" s="335"/>
      <c r="P884" s="331"/>
      <c r="Q884" s="332"/>
      <c r="W884" s="60"/>
    </row>
    <row r="885" spans="1:23" ht="14.25">
      <c r="A885" s="335"/>
      <c r="B885" s="335"/>
      <c r="C885" s="335"/>
      <c r="D885" s="336"/>
      <c r="E885" s="336"/>
      <c r="F885" s="336"/>
      <c r="G885" s="336"/>
      <c r="H885" s="336"/>
      <c r="I885" s="336"/>
      <c r="J885" s="336"/>
      <c r="K885" s="336"/>
      <c r="L885" s="343"/>
      <c r="M885" s="335"/>
      <c r="N885" s="335"/>
      <c r="O885" s="335"/>
      <c r="P885" s="331"/>
      <c r="Q885" s="332"/>
      <c r="W885" s="60"/>
    </row>
    <row r="886" spans="1:23" ht="14.25">
      <c r="A886" s="335"/>
      <c r="B886" s="335"/>
      <c r="C886" s="335"/>
      <c r="D886" s="336"/>
      <c r="E886" s="336"/>
      <c r="F886" s="336"/>
      <c r="G886" s="336"/>
      <c r="H886" s="336"/>
      <c r="I886" s="336"/>
      <c r="J886" s="336"/>
      <c r="K886" s="336"/>
      <c r="L886" s="343"/>
      <c r="M886" s="335"/>
      <c r="N886" s="335"/>
      <c r="O886" s="335"/>
      <c r="P886" s="331"/>
      <c r="Q886" s="332"/>
      <c r="W886" s="60"/>
    </row>
    <row r="887" spans="1:23" ht="14.25">
      <c r="A887" s="335"/>
      <c r="B887" s="335"/>
      <c r="C887" s="335"/>
      <c r="D887" s="336"/>
      <c r="E887" s="336"/>
      <c r="F887" s="336"/>
      <c r="G887" s="336"/>
      <c r="H887" s="336"/>
      <c r="I887" s="336"/>
      <c r="J887" s="336"/>
      <c r="K887" s="336"/>
      <c r="L887" s="343"/>
      <c r="M887" s="335"/>
      <c r="N887" s="335"/>
      <c r="O887" s="335"/>
      <c r="P887" s="331"/>
      <c r="Q887" s="332"/>
      <c r="W887" s="60"/>
    </row>
    <row r="888" spans="1:23" ht="14.25">
      <c r="A888" s="335"/>
      <c r="B888" s="335"/>
      <c r="C888" s="335"/>
      <c r="D888" s="336"/>
      <c r="E888" s="336"/>
      <c r="F888" s="336"/>
      <c r="G888" s="336"/>
      <c r="H888" s="336"/>
      <c r="I888" s="336"/>
      <c r="J888" s="336"/>
      <c r="K888" s="336"/>
      <c r="L888" s="343"/>
      <c r="M888" s="335"/>
      <c r="N888" s="335"/>
      <c r="O888" s="335"/>
      <c r="P888" s="331"/>
      <c r="Q888" s="332"/>
      <c r="W888" s="60"/>
    </row>
    <row r="889" spans="1:23" ht="14.25">
      <c r="A889" s="335"/>
      <c r="B889" s="335"/>
      <c r="C889" s="335"/>
      <c r="D889" s="336"/>
      <c r="E889" s="336"/>
      <c r="F889" s="336"/>
      <c r="G889" s="336"/>
      <c r="H889" s="336"/>
      <c r="I889" s="336"/>
      <c r="J889" s="336"/>
      <c r="K889" s="336"/>
      <c r="L889" s="343"/>
      <c r="M889" s="335"/>
      <c r="N889" s="335"/>
      <c r="O889" s="335"/>
      <c r="P889" s="331"/>
      <c r="Q889" s="332"/>
      <c r="W889" s="60"/>
    </row>
    <row r="890" spans="1:23" ht="14.25">
      <c r="A890" s="335"/>
      <c r="B890" s="335"/>
      <c r="C890" s="335"/>
      <c r="D890" s="336"/>
      <c r="E890" s="336"/>
      <c r="F890" s="336"/>
      <c r="G890" s="336"/>
      <c r="H890" s="336"/>
      <c r="I890" s="336"/>
      <c r="J890" s="336"/>
      <c r="K890" s="336"/>
      <c r="L890" s="343"/>
      <c r="M890" s="335"/>
      <c r="N890" s="335"/>
      <c r="O890" s="335"/>
      <c r="P890" s="331"/>
      <c r="Q890" s="332"/>
      <c r="W890" s="60"/>
    </row>
    <row r="891" spans="1:23" ht="14.25">
      <c r="A891" s="335"/>
      <c r="B891" s="335"/>
      <c r="C891" s="335"/>
      <c r="D891" s="336"/>
      <c r="E891" s="336"/>
      <c r="F891" s="336"/>
      <c r="G891" s="336"/>
      <c r="H891" s="336"/>
      <c r="I891" s="336"/>
      <c r="J891" s="336"/>
      <c r="K891" s="336"/>
      <c r="L891" s="343"/>
      <c r="M891" s="335"/>
      <c r="N891" s="335"/>
      <c r="O891" s="335"/>
      <c r="P891" s="331"/>
      <c r="Q891" s="332"/>
      <c r="W891" s="60"/>
    </row>
    <row r="892" spans="1:23" ht="14.25">
      <c r="A892" s="335"/>
      <c r="B892" s="335"/>
      <c r="C892" s="335"/>
      <c r="D892" s="336"/>
      <c r="E892" s="336"/>
      <c r="F892" s="336"/>
      <c r="G892" s="336"/>
      <c r="H892" s="336"/>
      <c r="I892" s="336"/>
      <c r="J892" s="336"/>
      <c r="K892" s="336"/>
      <c r="L892" s="343"/>
      <c r="M892" s="335"/>
      <c r="N892" s="335"/>
      <c r="O892" s="335"/>
      <c r="P892" s="331"/>
      <c r="Q892" s="332"/>
      <c r="W892" s="60"/>
    </row>
    <row r="893" spans="1:23" ht="14.25">
      <c r="A893" s="335"/>
      <c r="B893" s="335"/>
      <c r="C893" s="335"/>
      <c r="D893" s="336"/>
      <c r="E893" s="336"/>
      <c r="F893" s="336"/>
      <c r="G893" s="336"/>
      <c r="H893" s="336"/>
      <c r="I893" s="336"/>
      <c r="J893" s="336"/>
      <c r="K893" s="336"/>
      <c r="L893" s="343"/>
      <c r="M893" s="335"/>
      <c r="N893" s="335"/>
      <c r="O893" s="335"/>
      <c r="P893" s="331"/>
      <c r="Q893" s="332"/>
      <c r="W893" s="60"/>
    </row>
    <row r="894" spans="1:23" ht="14.25">
      <c r="A894" s="335"/>
      <c r="B894" s="335"/>
      <c r="C894" s="335"/>
      <c r="D894" s="336"/>
      <c r="E894" s="336"/>
      <c r="F894" s="336"/>
      <c r="G894" s="336"/>
      <c r="H894" s="336"/>
      <c r="I894" s="336"/>
      <c r="J894" s="336"/>
      <c r="K894" s="336"/>
      <c r="L894" s="343"/>
      <c r="M894" s="335"/>
      <c r="N894" s="335"/>
      <c r="O894" s="335"/>
      <c r="P894" s="331"/>
      <c r="Q894" s="332"/>
      <c r="W894" s="60"/>
    </row>
    <row r="895" spans="1:23" ht="14.25">
      <c r="A895" s="335"/>
      <c r="B895" s="335"/>
      <c r="C895" s="335"/>
      <c r="D895" s="336"/>
      <c r="E895" s="336"/>
      <c r="F895" s="336"/>
      <c r="G895" s="336"/>
      <c r="H895" s="336"/>
      <c r="I895" s="336"/>
      <c r="J895" s="336"/>
      <c r="K895" s="336"/>
      <c r="L895" s="343"/>
      <c r="M895" s="335"/>
      <c r="N895" s="335"/>
      <c r="O895" s="335"/>
      <c r="P895" s="331"/>
      <c r="Q895" s="332"/>
      <c r="W895" s="60"/>
    </row>
    <row r="896" spans="1:23" ht="14.25">
      <c r="A896" s="335"/>
      <c r="B896" s="335"/>
      <c r="C896" s="335"/>
      <c r="D896" s="336"/>
      <c r="E896" s="336"/>
      <c r="F896" s="336"/>
      <c r="G896" s="336"/>
      <c r="H896" s="336"/>
      <c r="I896" s="336"/>
      <c r="J896" s="336"/>
      <c r="K896" s="336"/>
      <c r="L896" s="343"/>
      <c r="M896" s="335"/>
      <c r="N896" s="335"/>
      <c r="O896" s="335"/>
      <c r="P896" s="331"/>
      <c r="Q896" s="332"/>
      <c r="W896" s="60"/>
    </row>
    <row r="897" spans="1:23" ht="14.25">
      <c r="A897" s="335"/>
      <c r="B897" s="335"/>
      <c r="C897" s="335"/>
      <c r="D897" s="336"/>
      <c r="E897" s="336"/>
      <c r="F897" s="336"/>
      <c r="G897" s="336"/>
      <c r="H897" s="336"/>
      <c r="I897" s="336"/>
      <c r="J897" s="336"/>
      <c r="K897" s="336"/>
      <c r="L897" s="343"/>
      <c r="M897" s="335"/>
      <c r="N897" s="335"/>
      <c r="O897" s="335"/>
      <c r="P897" s="331"/>
      <c r="Q897" s="332"/>
      <c r="W897" s="60"/>
    </row>
    <row r="898" spans="1:23" ht="14.25">
      <c r="A898" s="335"/>
      <c r="B898" s="335"/>
      <c r="C898" s="335"/>
      <c r="D898" s="336"/>
      <c r="E898" s="336"/>
      <c r="F898" s="336"/>
      <c r="G898" s="336"/>
      <c r="H898" s="336"/>
      <c r="I898" s="336"/>
      <c r="J898" s="336"/>
      <c r="K898" s="336"/>
      <c r="L898" s="343"/>
      <c r="M898" s="335"/>
      <c r="N898" s="335"/>
      <c r="O898" s="335"/>
      <c r="P898" s="331"/>
      <c r="Q898" s="332"/>
      <c r="W898" s="60"/>
    </row>
    <row r="899" spans="1:23" ht="14.25">
      <c r="A899" s="335"/>
      <c r="B899" s="335"/>
      <c r="C899" s="335"/>
      <c r="D899" s="336"/>
      <c r="E899" s="336"/>
      <c r="F899" s="336"/>
      <c r="G899" s="336"/>
      <c r="H899" s="336"/>
      <c r="I899" s="336"/>
      <c r="J899" s="336"/>
      <c r="K899" s="336"/>
      <c r="L899" s="343"/>
      <c r="M899" s="335"/>
      <c r="N899" s="335"/>
      <c r="O899" s="335"/>
      <c r="P899" s="331"/>
      <c r="Q899" s="332"/>
      <c r="W899" s="60"/>
    </row>
    <row r="900" spans="1:23" ht="14.25">
      <c r="A900" s="335"/>
      <c r="B900" s="335"/>
      <c r="C900" s="335"/>
      <c r="D900" s="336"/>
      <c r="E900" s="336"/>
      <c r="F900" s="336"/>
      <c r="G900" s="336"/>
      <c r="H900" s="336"/>
      <c r="I900" s="336"/>
      <c r="J900" s="336"/>
      <c r="K900" s="336"/>
      <c r="L900" s="343"/>
      <c r="M900" s="335"/>
      <c r="N900" s="335"/>
      <c r="O900" s="335"/>
      <c r="P900" s="331"/>
      <c r="Q900" s="332"/>
      <c r="W900" s="60"/>
    </row>
    <row r="901" spans="1:23" ht="14.25">
      <c r="A901" s="335"/>
      <c r="B901" s="335"/>
      <c r="C901" s="335"/>
      <c r="D901" s="336"/>
      <c r="E901" s="336"/>
      <c r="F901" s="336"/>
      <c r="G901" s="336"/>
      <c r="H901" s="336"/>
      <c r="I901" s="336"/>
      <c r="J901" s="336"/>
      <c r="K901" s="336"/>
      <c r="L901" s="343"/>
      <c r="M901" s="335"/>
      <c r="N901" s="335"/>
      <c r="O901" s="335"/>
      <c r="P901" s="331"/>
      <c r="Q901" s="332"/>
      <c r="W901" s="60"/>
    </row>
    <row r="902" spans="1:23" ht="14.25">
      <c r="A902" s="335"/>
      <c r="B902" s="335"/>
      <c r="C902" s="335"/>
      <c r="D902" s="336"/>
      <c r="E902" s="336"/>
      <c r="F902" s="336"/>
      <c r="G902" s="336"/>
      <c r="H902" s="336"/>
      <c r="I902" s="336"/>
      <c r="J902" s="336"/>
      <c r="K902" s="336"/>
      <c r="L902" s="343"/>
      <c r="M902" s="335"/>
      <c r="N902" s="335"/>
      <c r="O902" s="335"/>
      <c r="P902" s="331"/>
      <c r="Q902" s="332"/>
      <c r="W902" s="60"/>
    </row>
    <row r="903" spans="1:23" ht="14.25">
      <c r="A903" s="335"/>
      <c r="B903" s="335"/>
      <c r="C903" s="335"/>
      <c r="D903" s="336"/>
      <c r="E903" s="336"/>
      <c r="F903" s="336"/>
      <c r="G903" s="336"/>
      <c r="H903" s="336"/>
      <c r="I903" s="336"/>
      <c r="J903" s="336"/>
      <c r="K903" s="336"/>
      <c r="L903" s="343"/>
      <c r="M903" s="335"/>
      <c r="N903" s="335"/>
      <c r="O903" s="335"/>
      <c r="P903" s="331"/>
      <c r="Q903" s="332"/>
      <c r="W903" s="60"/>
    </row>
    <row r="904" spans="1:23" ht="14.25">
      <c r="A904" s="335"/>
      <c r="B904" s="335"/>
      <c r="C904" s="335"/>
      <c r="D904" s="336"/>
      <c r="E904" s="336"/>
      <c r="F904" s="336"/>
      <c r="G904" s="336"/>
      <c r="H904" s="336"/>
      <c r="I904" s="336"/>
      <c r="J904" s="336"/>
      <c r="K904" s="336"/>
      <c r="L904" s="343"/>
      <c r="M904" s="335"/>
      <c r="N904" s="335"/>
      <c r="O904" s="335"/>
      <c r="P904" s="331"/>
      <c r="Q904" s="332"/>
      <c r="W904" s="60"/>
    </row>
    <row r="905" spans="1:23" ht="14.25">
      <c r="A905" s="335"/>
      <c r="B905" s="335"/>
      <c r="C905" s="335"/>
      <c r="D905" s="336"/>
      <c r="E905" s="336"/>
      <c r="F905" s="336"/>
      <c r="G905" s="336"/>
      <c r="H905" s="336"/>
      <c r="I905" s="336"/>
      <c r="J905" s="336"/>
      <c r="K905" s="336"/>
      <c r="L905" s="343"/>
      <c r="M905" s="335"/>
      <c r="N905" s="335"/>
      <c r="O905" s="335"/>
      <c r="P905" s="331"/>
      <c r="Q905" s="332"/>
      <c r="W905" s="60"/>
    </row>
    <row r="906" spans="1:23" ht="14.25">
      <c r="A906" s="335"/>
      <c r="B906" s="335"/>
      <c r="C906" s="335"/>
      <c r="D906" s="336"/>
      <c r="E906" s="336"/>
      <c r="F906" s="336"/>
      <c r="G906" s="336"/>
      <c r="H906" s="336"/>
      <c r="I906" s="336"/>
      <c r="J906" s="336"/>
      <c r="K906" s="336"/>
      <c r="L906" s="343"/>
      <c r="M906" s="335"/>
      <c r="N906" s="335"/>
      <c r="O906" s="335"/>
      <c r="P906" s="331"/>
      <c r="Q906" s="332"/>
      <c r="W906" s="60"/>
    </row>
    <row r="907" spans="1:23" ht="14.25">
      <c r="A907" s="335"/>
      <c r="B907" s="335"/>
      <c r="C907" s="335"/>
      <c r="D907" s="336"/>
      <c r="E907" s="336"/>
      <c r="F907" s="336"/>
      <c r="G907" s="336"/>
      <c r="H907" s="336"/>
      <c r="I907" s="336"/>
      <c r="J907" s="336"/>
      <c r="K907" s="336"/>
      <c r="L907" s="343"/>
      <c r="M907" s="335"/>
      <c r="N907" s="335"/>
      <c r="O907" s="335"/>
      <c r="P907" s="331"/>
      <c r="Q907" s="332"/>
      <c r="W907" s="60"/>
    </row>
    <row r="908" spans="1:23" ht="14.25">
      <c r="A908" s="335"/>
      <c r="B908" s="335"/>
      <c r="C908" s="335"/>
      <c r="D908" s="336"/>
      <c r="E908" s="336"/>
      <c r="F908" s="336"/>
      <c r="G908" s="336"/>
      <c r="H908" s="336"/>
      <c r="I908" s="336"/>
      <c r="J908" s="336"/>
      <c r="K908" s="336"/>
      <c r="L908" s="343"/>
      <c r="M908" s="335"/>
      <c r="N908" s="335"/>
      <c r="O908" s="335"/>
      <c r="P908" s="331"/>
      <c r="Q908" s="332"/>
      <c r="W908" s="60"/>
    </row>
    <row r="909" spans="1:23" ht="14.25">
      <c r="A909" s="335"/>
      <c r="B909" s="335"/>
      <c r="C909" s="335"/>
      <c r="D909" s="336"/>
      <c r="E909" s="336"/>
      <c r="F909" s="336"/>
      <c r="G909" s="336"/>
      <c r="H909" s="336"/>
      <c r="I909" s="336"/>
      <c r="J909" s="336"/>
      <c r="K909" s="336"/>
      <c r="L909" s="343"/>
      <c r="M909" s="335"/>
      <c r="N909" s="335"/>
      <c r="O909" s="335"/>
      <c r="P909" s="331"/>
      <c r="Q909" s="332"/>
      <c r="W909" s="60"/>
    </row>
    <row r="910" spans="1:23" ht="14.25">
      <c r="A910" s="335"/>
      <c r="B910" s="335"/>
      <c r="C910" s="335"/>
      <c r="D910" s="336"/>
      <c r="E910" s="336"/>
      <c r="F910" s="336"/>
      <c r="G910" s="336"/>
      <c r="H910" s="336"/>
      <c r="I910" s="336"/>
      <c r="J910" s="336"/>
      <c r="K910" s="336"/>
      <c r="L910" s="343"/>
      <c r="M910" s="335"/>
      <c r="N910" s="335"/>
      <c r="O910" s="335"/>
      <c r="P910" s="331"/>
      <c r="Q910" s="332"/>
      <c r="W910" s="60"/>
    </row>
    <row r="911" spans="1:23" ht="14.25">
      <c r="A911" s="335"/>
      <c r="B911" s="335"/>
      <c r="C911" s="335"/>
      <c r="D911" s="336"/>
      <c r="E911" s="336"/>
      <c r="F911" s="336"/>
      <c r="G911" s="336"/>
      <c r="H911" s="336"/>
      <c r="I911" s="336"/>
      <c r="J911" s="336"/>
      <c r="K911" s="336"/>
      <c r="L911" s="343"/>
      <c r="M911" s="335"/>
      <c r="N911" s="335"/>
      <c r="O911" s="335"/>
      <c r="P911" s="331"/>
      <c r="Q911" s="332"/>
      <c r="W911" s="60"/>
    </row>
    <row r="912" spans="1:23" ht="14.25">
      <c r="A912" s="335"/>
      <c r="B912" s="335"/>
      <c r="C912" s="335"/>
      <c r="D912" s="336"/>
      <c r="E912" s="336"/>
      <c r="F912" s="336"/>
      <c r="G912" s="336"/>
      <c r="H912" s="336"/>
      <c r="I912" s="336"/>
      <c r="J912" s="336"/>
      <c r="K912" s="336"/>
      <c r="L912" s="343"/>
      <c r="M912" s="335"/>
      <c r="N912" s="335"/>
      <c r="O912" s="335"/>
      <c r="P912" s="331"/>
      <c r="Q912" s="332"/>
      <c r="W912" s="60"/>
    </row>
    <row r="913" spans="1:23" ht="14.25">
      <c r="A913" s="335"/>
      <c r="B913" s="335"/>
      <c r="C913" s="335"/>
      <c r="D913" s="336"/>
      <c r="E913" s="336"/>
      <c r="F913" s="336"/>
      <c r="G913" s="336"/>
      <c r="H913" s="336"/>
      <c r="I913" s="336"/>
      <c r="J913" s="336"/>
      <c r="K913" s="336"/>
      <c r="L913" s="343"/>
      <c r="M913" s="335"/>
      <c r="N913" s="335"/>
      <c r="O913" s="335"/>
      <c r="P913" s="331"/>
      <c r="Q913" s="332"/>
      <c r="W913" s="60"/>
    </row>
    <row r="914" spans="1:23" ht="14.25">
      <c r="A914" s="335"/>
      <c r="B914" s="335"/>
      <c r="C914" s="335"/>
      <c r="D914" s="336"/>
      <c r="E914" s="336"/>
      <c r="F914" s="336"/>
      <c r="G914" s="336"/>
      <c r="H914" s="336"/>
      <c r="I914" s="336"/>
      <c r="J914" s="336"/>
      <c r="K914" s="336"/>
      <c r="L914" s="343"/>
      <c r="M914" s="335"/>
      <c r="N914" s="335"/>
      <c r="O914" s="335"/>
      <c r="P914" s="331"/>
      <c r="Q914" s="332"/>
      <c r="W914" s="60"/>
    </row>
    <row r="915" spans="1:23" ht="14.25">
      <c r="A915" s="335"/>
      <c r="B915" s="335"/>
      <c r="C915" s="335"/>
      <c r="D915" s="336"/>
      <c r="E915" s="336"/>
      <c r="F915" s="336"/>
      <c r="G915" s="336"/>
      <c r="H915" s="336"/>
      <c r="I915" s="336"/>
      <c r="J915" s="336"/>
      <c r="K915" s="336"/>
      <c r="L915" s="343"/>
      <c r="M915" s="335"/>
      <c r="N915" s="335"/>
      <c r="O915" s="335"/>
      <c r="P915" s="331"/>
      <c r="Q915" s="332"/>
      <c r="W915" s="60"/>
    </row>
    <row r="916" spans="1:23" ht="14.25">
      <c r="A916" s="335"/>
      <c r="B916" s="335"/>
      <c r="C916" s="335"/>
      <c r="D916" s="336"/>
      <c r="E916" s="336"/>
      <c r="F916" s="336"/>
      <c r="G916" s="336"/>
      <c r="H916" s="336"/>
      <c r="I916" s="336"/>
      <c r="J916" s="336"/>
      <c r="K916" s="336"/>
      <c r="L916" s="343"/>
      <c r="M916" s="335"/>
      <c r="N916" s="335"/>
      <c r="O916" s="335"/>
      <c r="P916" s="331"/>
      <c r="Q916" s="332"/>
      <c r="W916" s="60"/>
    </row>
    <row r="917" spans="1:23" ht="14.25">
      <c r="A917" s="335"/>
      <c r="B917" s="335"/>
      <c r="C917" s="335"/>
      <c r="D917" s="336"/>
      <c r="E917" s="336"/>
      <c r="F917" s="336"/>
      <c r="G917" s="336"/>
      <c r="H917" s="336"/>
      <c r="I917" s="336"/>
      <c r="J917" s="336"/>
      <c r="K917" s="336"/>
      <c r="L917" s="343"/>
      <c r="M917" s="335"/>
      <c r="N917" s="335"/>
      <c r="O917" s="335"/>
      <c r="P917" s="331"/>
      <c r="Q917" s="332"/>
      <c r="W917" s="60"/>
    </row>
    <row r="918" spans="1:23" ht="14.25">
      <c r="A918" s="335"/>
      <c r="B918" s="335"/>
      <c r="C918" s="335"/>
      <c r="D918" s="336"/>
      <c r="E918" s="336"/>
      <c r="F918" s="336"/>
      <c r="G918" s="336"/>
      <c r="H918" s="336"/>
      <c r="I918" s="336"/>
      <c r="J918" s="336"/>
      <c r="K918" s="336"/>
      <c r="L918" s="343"/>
      <c r="M918" s="335"/>
      <c r="N918" s="335"/>
      <c r="O918" s="335"/>
      <c r="P918" s="331"/>
      <c r="Q918" s="332"/>
      <c r="W918" s="60"/>
    </row>
    <row r="919" spans="1:23" ht="14.25">
      <c r="A919" s="335"/>
      <c r="B919" s="335"/>
      <c r="C919" s="335"/>
      <c r="D919" s="336"/>
      <c r="E919" s="336"/>
      <c r="F919" s="336"/>
      <c r="G919" s="336"/>
      <c r="H919" s="336"/>
      <c r="I919" s="336"/>
      <c r="J919" s="336"/>
      <c r="K919" s="336"/>
      <c r="L919" s="343"/>
      <c r="M919" s="335"/>
      <c r="N919" s="335"/>
      <c r="O919" s="335"/>
      <c r="P919" s="331"/>
      <c r="Q919" s="332"/>
      <c r="W919" s="60"/>
    </row>
    <row r="920" spans="1:23" ht="14.25">
      <c r="A920" s="335"/>
      <c r="B920" s="335"/>
      <c r="C920" s="335"/>
      <c r="D920" s="336"/>
      <c r="E920" s="336"/>
      <c r="F920" s="336"/>
      <c r="G920" s="336"/>
      <c r="H920" s="336"/>
      <c r="I920" s="336"/>
      <c r="J920" s="336"/>
      <c r="K920" s="336"/>
      <c r="L920" s="343"/>
      <c r="M920" s="335"/>
      <c r="N920" s="335"/>
      <c r="O920" s="335"/>
      <c r="P920" s="331"/>
      <c r="Q920" s="332"/>
      <c r="W920" s="60"/>
    </row>
    <row r="921" spans="1:23" ht="14.25">
      <c r="A921" s="335"/>
      <c r="B921" s="335"/>
      <c r="C921" s="335"/>
      <c r="D921" s="336"/>
      <c r="E921" s="336"/>
      <c r="F921" s="336"/>
      <c r="G921" s="336"/>
      <c r="H921" s="336"/>
      <c r="I921" s="336"/>
      <c r="J921" s="336"/>
      <c r="K921" s="336"/>
      <c r="L921" s="343"/>
      <c r="M921" s="335"/>
      <c r="N921" s="335"/>
      <c r="O921" s="335"/>
      <c r="P921" s="331"/>
      <c r="Q921" s="332"/>
      <c r="W921" s="60"/>
    </row>
    <row r="922" spans="1:23" ht="14.25">
      <c r="A922" s="335"/>
      <c r="B922" s="335"/>
      <c r="C922" s="335"/>
      <c r="D922" s="336"/>
      <c r="E922" s="336"/>
      <c r="F922" s="336"/>
      <c r="G922" s="336"/>
      <c r="H922" s="336"/>
      <c r="I922" s="336"/>
      <c r="J922" s="336"/>
      <c r="K922" s="336"/>
      <c r="L922" s="343"/>
      <c r="M922" s="335"/>
      <c r="N922" s="335"/>
      <c r="O922" s="335"/>
      <c r="P922" s="331"/>
      <c r="Q922" s="332"/>
      <c r="W922" s="60"/>
    </row>
    <row r="923" spans="1:23" ht="14.25">
      <c r="A923" s="335"/>
      <c r="B923" s="335"/>
      <c r="C923" s="335"/>
      <c r="D923" s="336"/>
      <c r="E923" s="336"/>
      <c r="F923" s="336"/>
      <c r="G923" s="336"/>
      <c r="H923" s="336"/>
      <c r="I923" s="336"/>
      <c r="J923" s="336"/>
      <c r="K923" s="336"/>
      <c r="L923" s="343"/>
      <c r="M923" s="335"/>
      <c r="N923" s="335"/>
      <c r="O923" s="335"/>
      <c r="P923" s="331"/>
      <c r="Q923" s="332"/>
      <c r="W923" s="60"/>
    </row>
    <row r="924" spans="1:23" ht="14.25">
      <c r="A924" s="335"/>
      <c r="B924" s="335"/>
      <c r="C924" s="335"/>
      <c r="D924" s="336"/>
      <c r="E924" s="336"/>
      <c r="F924" s="336"/>
      <c r="G924" s="336"/>
      <c r="H924" s="336"/>
      <c r="I924" s="336"/>
      <c r="J924" s="336"/>
      <c r="K924" s="336"/>
      <c r="L924" s="343"/>
      <c r="M924" s="335"/>
      <c r="N924" s="335"/>
      <c r="O924" s="335"/>
      <c r="P924" s="331"/>
      <c r="Q924" s="332"/>
      <c r="W924" s="60"/>
    </row>
    <row r="925" spans="1:23" ht="14.25">
      <c r="A925" s="335"/>
      <c r="B925" s="335"/>
      <c r="C925" s="335"/>
      <c r="D925" s="336"/>
      <c r="E925" s="336"/>
      <c r="F925" s="336"/>
      <c r="G925" s="336"/>
      <c r="H925" s="336"/>
      <c r="I925" s="336"/>
      <c r="J925" s="336"/>
      <c r="K925" s="336"/>
      <c r="L925" s="343"/>
      <c r="M925" s="335"/>
      <c r="N925" s="335"/>
      <c r="O925" s="335"/>
      <c r="P925" s="331"/>
      <c r="Q925" s="332"/>
      <c r="W925" s="60"/>
    </row>
    <row r="926" spans="1:23" ht="14.25">
      <c r="A926" s="335"/>
      <c r="B926" s="335"/>
      <c r="C926" s="335"/>
      <c r="D926" s="336"/>
      <c r="E926" s="336"/>
      <c r="F926" s="336"/>
      <c r="G926" s="336"/>
      <c r="H926" s="336"/>
      <c r="I926" s="336"/>
      <c r="J926" s="336"/>
      <c r="K926" s="336"/>
      <c r="L926" s="343"/>
      <c r="M926" s="335"/>
      <c r="N926" s="335"/>
      <c r="O926" s="335"/>
      <c r="P926" s="331"/>
      <c r="Q926" s="332"/>
      <c r="W926" s="60"/>
    </row>
    <row r="927" spans="1:23" ht="14.25">
      <c r="A927" s="335"/>
      <c r="B927" s="335"/>
      <c r="C927" s="335"/>
      <c r="D927" s="336"/>
      <c r="E927" s="336"/>
      <c r="F927" s="336"/>
      <c r="G927" s="336"/>
      <c r="H927" s="336"/>
      <c r="I927" s="336"/>
      <c r="J927" s="336"/>
      <c r="K927" s="336"/>
      <c r="L927" s="343"/>
      <c r="M927" s="335"/>
      <c r="N927" s="335"/>
      <c r="O927" s="335"/>
      <c r="P927" s="331"/>
      <c r="Q927" s="332"/>
      <c r="W927" s="60"/>
    </row>
    <row r="928" spans="1:23" ht="14.25">
      <c r="A928" s="335"/>
      <c r="B928" s="335"/>
      <c r="C928" s="335"/>
      <c r="D928" s="336"/>
      <c r="E928" s="336"/>
      <c r="F928" s="336"/>
      <c r="G928" s="336"/>
      <c r="H928" s="336"/>
      <c r="I928" s="336"/>
      <c r="J928" s="336"/>
      <c r="K928" s="336"/>
      <c r="L928" s="343"/>
      <c r="M928" s="335"/>
      <c r="N928" s="335"/>
      <c r="O928" s="335"/>
      <c r="P928" s="331"/>
      <c r="Q928" s="332"/>
      <c r="W928" s="60"/>
    </row>
    <row r="929" spans="1:23" ht="14.25">
      <c r="A929" s="335"/>
      <c r="B929" s="335"/>
      <c r="C929" s="335"/>
      <c r="D929" s="336"/>
      <c r="E929" s="336"/>
      <c r="F929" s="336"/>
      <c r="G929" s="336"/>
      <c r="H929" s="336"/>
      <c r="I929" s="336"/>
      <c r="J929" s="336"/>
      <c r="K929" s="336"/>
      <c r="L929" s="343"/>
      <c r="M929" s="335"/>
      <c r="N929" s="335"/>
      <c r="O929" s="335"/>
      <c r="P929" s="331"/>
      <c r="Q929" s="332"/>
      <c r="W929" s="60"/>
    </row>
    <row r="930" spans="1:23" ht="14.25">
      <c r="A930" s="335"/>
      <c r="B930" s="335"/>
      <c r="C930" s="335"/>
      <c r="D930" s="336"/>
      <c r="E930" s="336"/>
      <c r="F930" s="336"/>
      <c r="G930" s="336"/>
      <c r="H930" s="336"/>
      <c r="I930" s="336"/>
      <c r="J930" s="336"/>
      <c r="K930" s="336"/>
      <c r="L930" s="343"/>
      <c r="M930" s="335"/>
      <c r="N930" s="335"/>
      <c r="O930" s="335"/>
      <c r="P930" s="331"/>
      <c r="Q930" s="332"/>
      <c r="W930" s="60"/>
    </row>
    <row r="931" spans="1:23" ht="14.25">
      <c r="A931" s="335"/>
      <c r="B931" s="335"/>
      <c r="C931" s="335"/>
      <c r="D931" s="336"/>
      <c r="E931" s="336"/>
      <c r="F931" s="336"/>
      <c r="G931" s="336"/>
      <c r="H931" s="336"/>
      <c r="I931" s="336"/>
      <c r="J931" s="336"/>
      <c r="K931" s="336"/>
      <c r="L931" s="343"/>
      <c r="M931" s="335"/>
      <c r="N931" s="335"/>
      <c r="O931" s="335"/>
      <c r="P931" s="331"/>
      <c r="Q931" s="332"/>
      <c r="W931" s="60"/>
    </row>
    <row r="932" spans="1:23" ht="14.25">
      <c r="A932" s="335"/>
      <c r="B932" s="335"/>
      <c r="C932" s="335"/>
      <c r="D932" s="336"/>
      <c r="E932" s="336"/>
      <c r="F932" s="336"/>
      <c r="G932" s="336"/>
      <c r="H932" s="336"/>
      <c r="I932" s="336"/>
      <c r="J932" s="336"/>
      <c r="K932" s="336"/>
      <c r="L932" s="343"/>
      <c r="M932" s="335"/>
      <c r="N932" s="335"/>
      <c r="O932" s="335"/>
      <c r="P932" s="331"/>
      <c r="Q932" s="332"/>
      <c r="W932" s="60"/>
    </row>
    <row r="933" spans="1:23" ht="14.25">
      <c r="A933" s="335"/>
      <c r="B933" s="335"/>
      <c r="C933" s="335"/>
      <c r="D933" s="336"/>
      <c r="E933" s="336"/>
      <c r="F933" s="336"/>
      <c r="G933" s="336"/>
      <c r="H933" s="336"/>
      <c r="I933" s="336"/>
      <c r="J933" s="336"/>
      <c r="K933" s="336"/>
      <c r="L933" s="343"/>
      <c r="M933" s="335"/>
      <c r="N933" s="335"/>
      <c r="O933" s="335"/>
      <c r="P933" s="331"/>
      <c r="Q933" s="332"/>
      <c r="W933" s="60"/>
    </row>
    <row r="934" spans="1:23" ht="14.25">
      <c r="A934" s="335"/>
      <c r="B934" s="335"/>
      <c r="C934" s="335"/>
      <c r="D934" s="336"/>
      <c r="E934" s="336"/>
      <c r="F934" s="336"/>
      <c r="G934" s="336"/>
      <c r="H934" s="336"/>
      <c r="I934" s="336"/>
      <c r="J934" s="336"/>
      <c r="K934" s="336"/>
      <c r="L934" s="343"/>
      <c r="M934" s="335"/>
      <c r="N934" s="335"/>
      <c r="O934" s="335"/>
      <c r="P934" s="331"/>
      <c r="Q934" s="332"/>
      <c r="W934" s="60"/>
    </row>
    <row r="935" spans="1:23" ht="14.25">
      <c r="A935" s="335"/>
      <c r="B935" s="335"/>
      <c r="C935" s="335"/>
      <c r="D935" s="336"/>
      <c r="E935" s="336"/>
      <c r="F935" s="336"/>
      <c r="G935" s="336"/>
      <c r="H935" s="336"/>
      <c r="I935" s="336"/>
      <c r="J935" s="336"/>
      <c r="K935" s="336"/>
      <c r="L935" s="343"/>
      <c r="M935" s="335"/>
      <c r="N935" s="335"/>
      <c r="O935" s="335"/>
      <c r="P935" s="331"/>
      <c r="Q935" s="332"/>
      <c r="W935" s="60"/>
    </row>
    <row r="936" spans="1:23" ht="14.25">
      <c r="A936" s="335"/>
      <c r="B936" s="335"/>
      <c r="C936" s="335"/>
      <c r="D936" s="336"/>
      <c r="E936" s="336"/>
      <c r="F936" s="336"/>
      <c r="G936" s="336"/>
      <c r="H936" s="336"/>
      <c r="I936" s="336"/>
      <c r="J936" s="336"/>
      <c r="K936" s="336"/>
      <c r="L936" s="343"/>
      <c r="M936" s="335"/>
      <c r="N936" s="335"/>
      <c r="O936" s="335"/>
      <c r="P936" s="331"/>
      <c r="Q936" s="332"/>
      <c r="W936" s="60"/>
    </row>
    <row r="937" spans="1:23" ht="14.25">
      <c r="A937" s="335"/>
      <c r="B937" s="335"/>
      <c r="C937" s="335"/>
      <c r="D937" s="336"/>
      <c r="E937" s="336"/>
      <c r="F937" s="336"/>
      <c r="G937" s="336"/>
      <c r="H937" s="336"/>
      <c r="I937" s="336"/>
      <c r="J937" s="336"/>
      <c r="K937" s="336"/>
      <c r="L937" s="343"/>
      <c r="M937" s="335"/>
      <c r="N937" s="335"/>
      <c r="O937" s="335"/>
      <c r="P937" s="331"/>
      <c r="Q937" s="332"/>
      <c r="W937" s="60"/>
    </row>
    <row r="938" spans="1:23" ht="14.25">
      <c r="A938" s="335"/>
      <c r="B938" s="335"/>
      <c r="C938" s="335"/>
      <c r="D938" s="336"/>
      <c r="E938" s="336"/>
      <c r="F938" s="336"/>
      <c r="G938" s="336"/>
      <c r="H938" s="336"/>
      <c r="I938" s="336"/>
      <c r="J938" s="336"/>
      <c r="K938" s="336"/>
      <c r="L938" s="343"/>
      <c r="M938" s="335"/>
      <c r="N938" s="335"/>
      <c r="O938" s="335"/>
      <c r="P938" s="331"/>
      <c r="Q938" s="332"/>
      <c r="W938" s="60"/>
    </row>
    <row r="939" spans="1:23" ht="14.25">
      <c r="A939" s="335"/>
      <c r="B939" s="335"/>
      <c r="C939" s="335"/>
      <c r="D939" s="336"/>
      <c r="E939" s="336"/>
      <c r="F939" s="336"/>
      <c r="G939" s="336"/>
      <c r="H939" s="336"/>
      <c r="I939" s="336"/>
      <c r="J939" s="336"/>
      <c r="K939" s="336"/>
      <c r="L939" s="343"/>
      <c r="M939" s="335"/>
      <c r="N939" s="335"/>
      <c r="O939" s="335"/>
      <c r="P939" s="331"/>
      <c r="Q939" s="332"/>
      <c r="W939" s="60"/>
    </row>
    <row r="940" spans="1:23" ht="14.25">
      <c r="A940" s="335"/>
      <c r="B940" s="335"/>
      <c r="C940" s="335"/>
      <c r="D940" s="336"/>
      <c r="E940" s="336"/>
      <c r="F940" s="336"/>
      <c r="G940" s="336"/>
      <c r="H940" s="336"/>
      <c r="I940" s="336"/>
      <c r="J940" s="336"/>
      <c r="K940" s="336"/>
      <c r="L940" s="343"/>
      <c r="M940" s="335"/>
      <c r="N940" s="335"/>
      <c r="O940" s="335"/>
      <c r="P940" s="331"/>
      <c r="Q940" s="332"/>
      <c r="W940" s="60"/>
    </row>
    <row r="941" spans="1:23" ht="14.25">
      <c r="A941" s="335"/>
      <c r="B941" s="335"/>
      <c r="C941" s="335"/>
      <c r="D941" s="336"/>
      <c r="E941" s="336"/>
      <c r="F941" s="336"/>
      <c r="G941" s="336"/>
      <c r="H941" s="336"/>
      <c r="I941" s="336"/>
      <c r="J941" s="336"/>
      <c r="K941" s="336"/>
      <c r="L941" s="343"/>
      <c r="M941" s="335"/>
      <c r="N941" s="335"/>
      <c r="O941" s="335"/>
      <c r="P941" s="331"/>
      <c r="Q941" s="332"/>
      <c r="W941" s="60"/>
    </row>
    <row r="942" spans="1:23" ht="14.25">
      <c r="A942" s="335"/>
      <c r="B942" s="335"/>
      <c r="C942" s="335"/>
      <c r="D942" s="336"/>
      <c r="E942" s="336"/>
      <c r="F942" s="336"/>
      <c r="G942" s="336"/>
      <c r="H942" s="336"/>
      <c r="I942" s="336"/>
      <c r="J942" s="336"/>
      <c r="K942" s="336"/>
      <c r="L942" s="343"/>
      <c r="M942" s="335"/>
      <c r="N942" s="335"/>
      <c r="O942" s="335"/>
      <c r="P942" s="331"/>
      <c r="Q942" s="332"/>
      <c r="W942" s="60"/>
    </row>
    <row r="943" spans="1:23" ht="14.25">
      <c r="A943" s="335"/>
      <c r="B943" s="335"/>
      <c r="C943" s="335"/>
      <c r="D943" s="336"/>
      <c r="E943" s="336"/>
      <c r="F943" s="336"/>
      <c r="G943" s="336"/>
      <c r="H943" s="336"/>
      <c r="I943" s="336"/>
      <c r="J943" s="336"/>
      <c r="K943" s="336"/>
      <c r="L943" s="343"/>
      <c r="M943" s="335"/>
      <c r="N943" s="335"/>
      <c r="O943" s="335"/>
      <c r="P943" s="331"/>
      <c r="Q943" s="332"/>
      <c r="W943" s="60"/>
    </row>
    <row r="944" spans="1:23" ht="14.25">
      <c r="A944" s="335"/>
      <c r="B944" s="335"/>
      <c r="C944" s="335"/>
      <c r="D944" s="336"/>
      <c r="E944" s="336"/>
      <c r="F944" s="336"/>
      <c r="G944" s="336"/>
      <c r="H944" s="336"/>
      <c r="I944" s="336"/>
      <c r="J944" s="336"/>
      <c r="K944" s="336"/>
      <c r="L944" s="343"/>
      <c r="M944" s="335"/>
      <c r="N944" s="335"/>
      <c r="O944" s="335"/>
      <c r="P944" s="331"/>
      <c r="Q944" s="332"/>
      <c r="W944" s="60"/>
    </row>
    <row r="945" spans="1:23" ht="14.25">
      <c r="A945" s="335"/>
      <c r="B945" s="335"/>
      <c r="C945" s="335"/>
      <c r="D945" s="336"/>
      <c r="E945" s="336"/>
      <c r="F945" s="336"/>
      <c r="G945" s="336"/>
      <c r="H945" s="336"/>
      <c r="I945" s="336"/>
      <c r="J945" s="336"/>
      <c r="K945" s="336"/>
      <c r="L945" s="343"/>
      <c r="M945" s="335"/>
      <c r="N945" s="335"/>
      <c r="O945" s="335"/>
      <c r="P945" s="331"/>
      <c r="Q945" s="332"/>
      <c r="W945" s="60"/>
    </row>
    <row r="946" spans="1:23" ht="14.25">
      <c r="A946" s="335"/>
      <c r="B946" s="335"/>
      <c r="C946" s="335"/>
      <c r="D946" s="336"/>
      <c r="E946" s="336"/>
      <c r="F946" s="336"/>
      <c r="G946" s="336"/>
      <c r="H946" s="336"/>
      <c r="I946" s="336"/>
      <c r="J946" s="336"/>
      <c r="K946" s="336"/>
      <c r="L946" s="343"/>
      <c r="M946" s="335"/>
      <c r="N946" s="335"/>
      <c r="O946" s="335"/>
      <c r="P946" s="331"/>
      <c r="Q946" s="332"/>
      <c r="W946" s="60"/>
    </row>
    <row r="947" spans="1:23" ht="14.25">
      <c r="A947" s="335"/>
      <c r="B947" s="335"/>
      <c r="C947" s="335"/>
      <c r="D947" s="336"/>
      <c r="E947" s="336"/>
      <c r="F947" s="336"/>
      <c r="G947" s="336"/>
      <c r="H947" s="336"/>
      <c r="I947" s="336"/>
      <c r="J947" s="336"/>
      <c r="K947" s="336"/>
      <c r="L947" s="343"/>
      <c r="M947" s="335"/>
      <c r="N947" s="335"/>
      <c r="O947" s="335"/>
      <c r="P947" s="331"/>
      <c r="Q947" s="332"/>
      <c r="W947" s="60"/>
    </row>
    <row r="948" spans="1:23" ht="14.25">
      <c r="A948" s="335"/>
      <c r="B948" s="335"/>
      <c r="C948" s="335"/>
      <c r="D948" s="336"/>
      <c r="E948" s="336"/>
      <c r="F948" s="336"/>
      <c r="G948" s="336"/>
      <c r="H948" s="336"/>
      <c r="I948" s="336"/>
      <c r="J948" s="336"/>
      <c r="K948" s="336"/>
      <c r="L948" s="343"/>
      <c r="M948" s="335"/>
      <c r="N948" s="335"/>
      <c r="O948" s="335"/>
      <c r="P948" s="331"/>
      <c r="Q948" s="332"/>
      <c r="W948" s="60"/>
    </row>
    <row r="949" spans="1:23" ht="14.25">
      <c r="A949" s="335"/>
      <c r="B949" s="335"/>
      <c r="C949" s="335"/>
      <c r="D949" s="336"/>
      <c r="E949" s="336"/>
      <c r="F949" s="336"/>
      <c r="G949" s="336"/>
      <c r="H949" s="336"/>
      <c r="I949" s="336"/>
      <c r="J949" s="336"/>
      <c r="K949" s="336"/>
      <c r="L949" s="343"/>
      <c r="M949" s="335"/>
      <c r="N949" s="335"/>
      <c r="O949" s="335"/>
      <c r="P949" s="331"/>
      <c r="Q949" s="332"/>
      <c r="W949" s="60"/>
    </row>
    <row r="950" spans="1:23" ht="14.25">
      <c r="A950" s="335"/>
      <c r="B950" s="335"/>
      <c r="C950" s="335"/>
      <c r="D950" s="336"/>
      <c r="E950" s="336"/>
      <c r="F950" s="336"/>
      <c r="G950" s="336"/>
      <c r="H950" s="336"/>
      <c r="I950" s="336"/>
      <c r="J950" s="336"/>
      <c r="K950" s="336"/>
      <c r="L950" s="343"/>
      <c r="M950" s="335"/>
      <c r="N950" s="335"/>
      <c r="O950" s="335"/>
      <c r="P950" s="331"/>
      <c r="Q950" s="332"/>
      <c r="W950" s="60"/>
    </row>
    <row r="951" spans="1:23" ht="14.25">
      <c r="A951" s="335"/>
      <c r="B951" s="335"/>
      <c r="C951" s="335"/>
      <c r="D951" s="336"/>
      <c r="E951" s="336"/>
      <c r="F951" s="336"/>
      <c r="G951" s="336"/>
      <c r="H951" s="336"/>
      <c r="I951" s="336"/>
      <c r="J951" s="336"/>
      <c r="K951" s="336"/>
      <c r="L951" s="343"/>
      <c r="M951" s="335"/>
      <c r="N951" s="335"/>
      <c r="O951" s="335"/>
      <c r="P951" s="331"/>
      <c r="Q951" s="332"/>
      <c r="W951" s="60"/>
    </row>
    <row r="952" spans="1:23" ht="14.25">
      <c r="A952" s="335"/>
      <c r="B952" s="335"/>
      <c r="C952" s="335"/>
      <c r="D952" s="336"/>
      <c r="E952" s="336"/>
      <c r="F952" s="336"/>
      <c r="G952" s="336"/>
      <c r="H952" s="336"/>
      <c r="I952" s="336"/>
      <c r="J952" s="336"/>
      <c r="K952" s="336"/>
      <c r="L952" s="343"/>
      <c r="M952" s="335"/>
      <c r="N952" s="335"/>
      <c r="O952" s="335"/>
      <c r="P952" s="331"/>
      <c r="Q952" s="332"/>
      <c r="W952" s="60"/>
    </row>
    <row r="953" spans="1:23" ht="14.25">
      <c r="A953" s="335"/>
      <c r="B953" s="335"/>
      <c r="C953" s="335"/>
      <c r="D953" s="336"/>
      <c r="E953" s="336"/>
      <c r="F953" s="336"/>
      <c r="G953" s="336"/>
      <c r="H953" s="336"/>
      <c r="I953" s="336"/>
      <c r="J953" s="336"/>
      <c r="K953" s="336"/>
      <c r="L953" s="343"/>
      <c r="M953" s="335"/>
      <c r="N953" s="335"/>
      <c r="O953" s="335"/>
      <c r="P953" s="331"/>
      <c r="Q953" s="332"/>
      <c r="W953" s="60"/>
    </row>
    <row r="954" spans="1:23" ht="14.25">
      <c r="A954" s="335"/>
      <c r="B954" s="335"/>
      <c r="C954" s="335"/>
      <c r="D954" s="336"/>
      <c r="E954" s="336"/>
      <c r="F954" s="336"/>
      <c r="G954" s="336"/>
      <c r="H954" s="336"/>
      <c r="I954" s="336"/>
      <c r="J954" s="336"/>
      <c r="K954" s="336"/>
      <c r="L954" s="343"/>
      <c r="M954" s="335"/>
      <c r="N954" s="335"/>
      <c r="O954" s="335"/>
      <c r="P954" s="331"/>
      <c r="Q954" s="332"/>
      <c r="W954" s="60"/>
    </row>
    <row r="955" spans="1:23" ht="14.25">
      <c r="A955" s="335"/>
      <c r="B955" s="335"/>
      <c r="C955" s="335"/>
      <c r="D955" s="336"/>
      <c r="E955" s="336"/>
      <c r="F955" s="336"/>
      <c r="G955" s="336"/>
      <c r="H955" s="336"/>
      <c r="I955" s="336"/>
      <c r="J955" s="336"/>
      <c r="K955" s="336"/>
      <c r="L955" s="343"/>
      <c r="M955" s="335"/>
      <c r="N955" s="335"/>
      <c r="O955" s="335"/>
      <c r="P955" s="331"/>
      <c r="Q955" s="332"/>
      <c r="W955" s="60"/>
    </row>
    <row r="956" spans="1:23" ht="14.25">
      <c r="A956" s="335"/>
      <c r="B956" s="335"/>
      <c r="C956" s="335"/>
      <c r="D956" s="336"/>
      <c r="E956" s="336"/>
      <c r="F956" s="336"/>
      <c r="G956" s="336"/>
      <c r="H956" s="336"/>
      <c r="I956" s="336"/>
      <c r="J956" s="336"/>
      <c r="K956" s="336"/>
      <c r="L956" s="343"/>
      <c r="M956" s="335"/>
      <c r="N956" s="335"/>
      <c r="O956" s="335"/>
      <c r="P956" s="331"/>
      <c r="Q956" s="332"/>
      <c r="W956" s="60"/>
    </row>
    <row r="957" spans="1:23" ht="14.25">
      <c r="A957" s="335"/>
      <c r="B957" s="335"/>
      <c r="C957" s="335"/>
      <c r="D957" s="336"/>
      <c r="E957" s="336"/>
      <c r="F957" s="336"/>
      <c r="G957" s="336"/>
      <c r="H957" s="336"/>
      <c r="I957" s="336"/>
      <c r="J957" s="336"/>
      <c r="K957" s="336"/>
      <c r="L957" s="343"/>
      <c r="M957" s="335"/>
      <c r="N957" s="335"/>
      <c r="O957" s="335"/>
      <c r="P957" s="331"/>
      <c r="Q957" s="332"/>
      <c r="W957" s="60"/>
    </row>
    <row r="958" spans="1:23" ht="14.25">
      <c r="A958" s="335"/>
      <c r="B958" s="335"/>
      <c r="C958" s="335"/>
      <c r="D958" s="336"/>
      <c r="E958" s="336"/>
      <c r="F958" s="336"/>
      <c r="G958" s="336"/>
      <c r="H958" s="336"/>
      <c r="I958" s="336"/>
      <c r="J958" s="336"/>
      <c r="K958" s="336"/>
      <c r="L958" s="343"/>
      <c r="M958" s="335"/>
      <c r="N958" s="335"/>
      <c r="O958" s="335"/>
      <c r="P958" s="331"/>
      <c r="Q958" s="332"/>
      <c r="W958" s="60"/>
    </row>
    <row r="959" spans="1:23" ht="14.25">
      <c r="A959" s="335"/>
      <c r="B959" s="335"/>
      <c r="C959" s="335"/>
      <c r="D959" s="336"/>
      <c r="E959" s="336"/>
      <c r="F959" s="336"/>
      <c r="G959" s="336"/>
      <c r="H959" s="336"/>
      <c r="I959" s="336"/>
      <c r="J959" s="336"/>
      <c r="K959" s="336"/>
      <c r="L959" s="343"/>
      <c r="M959" s="335"/>
      <c r="N959" s="335"/>
      <c r="O959" s="335"/>
      <c r="P959" s="331"/>
      <c r="Q959" s="332"/>
      <c r="W959" s="60"/>
    </row>
    <row r="960" spans="1:23" ht="14.25">
      <c r="A960" s="335"/>
      <c r="B960" s="335"/>
      <c r="C960" s="335"/>
      <c r="D960" s="336"/>
      <c r="E960" s="336"/>
      <c r="F960" s="336"/>
      <c r="G960" s="336"/>
      <c r="H960" s="336"/>
      <c r="I960" s="336"/>
      <c r="J960" s="336"/>
      <c r="K960" s="336"/>
      <c r="L960" s="343"/>
      <c r="M960" s="335"/>
      <c r="N960" s="335"/>
      <c r="O960" s="335"/>
      <c r="P960" s="331"/>
      <c r="Q960" s="332"/>
      <c r="W960" s="60"/>
    </row>
    <row r="961" spans="1:23" ht="14.25">
      <c r="A961" s="335"/>
      <c r="B961" s="335"/>
      <c r="C961" s="335"/>
      <c r="D961" s="336"/>
      <c r="E961" s="336"/>
      <c r="F961" s="336"/>
      <c r="G961" s="336"/>
      <c r="H961" s="336"/>
      <c r="I961" s="336"/>
      <c r="J961" s="336"/>
      <c r="K961" s="336"/>
      <c r="L961" s="343"/>
      <c r="M961" s="335"/>
      <c r="N961" s="335"/>
      <c r="O961" s="335"/>
      <c r="P961" s="331"/>
      <c r="Q961" s="332"/>
      <c r="W961" s="60"/>
    </row>
    <row r="962" spans="1:23" ht="14.25">
      <c r="A962" s="335"/>
      <c r="B962" s="335"/>
      <c r="C962" s="335"/>
      <c r="D962" s="336"/>
      <c r="E962" s="336"/>
      <c r="F962" s="336"/>
      <c r="G962" s="336"/>
      <c r="H962" s="336"/>
      <c r="I962" s="336"/>
      <c r="J962" s="336"/>
      <c r="K962" s="336"/>
      <c r="L962" s="343"/>
      <c r="M962" s="335"/>
      <c r="N962" s="335"/>
      <c r="O962" s="335"/>
      <c r="P962" s="331"/>
      <c r="Q962" s="332"/>
      <c r="W962" s="60"/>
    </row>
    <row r="963" spans="1:23" ht="14.25">
      <c r="A963" s="335"/>
      <c r="B963" s="335"/>
      <c r="C963" s="335"/>
      <c r="D963" s="336"/>
      <c r="E963" s="336"/>
      <c r="F963" s="336"/>
      <c r="G963" s="336"/>
      <c r="H963" s="336"/>
      <c r="I963" s="336"/>
      <c r="J963" s="336"/>
      <c r="K963" s="336"/>
      <c r="L963" s="343"/>
      <c r="M963" s="335"/>
      <c r="N963" s="335"/>
      <c r="O963" s="335"/>
      <c r="P963" s="331"/>
      <c r="Q963" s="332"/>
      <c r="W963" s="60"/>
    </row>
    <row r="964" spans="1:23" ht="14.25">
      <c r="A964" s="335"/>
      <c r="B964" s="335"/>
      <c r="C964" s="335"/>
      <c r="D964" s="336"/>
      <c r="E964" s="336"/>
      <c r="F964" s="336"/>
      <c r="G964" s="336"/>
      <c r="H964" s="336"/>
      <c r="I964" s="336"/>
      <c r="J964" s="336"/>
      <c r="K964" s="336"/>
      <c r="L964" s="343"/>
      <c r="M964" s="335"/>
      <c r="N964" s="335"/>
      <c r="O964" s="335"/>
      <c r="P964" s="331"/>
      <c r="Q964" s="332"/>
      <c r="W964" s="60"/>
    </row>
    <row r="965" spans="1:23" ht="14.25">
      <c r="A965" s="335"/>
      <c r="B965" s="335"/>
      <c r="C965" s="335"/>
      <c r="D965" s="336"/>
      <c r="E965" s="336"/>
      <c r="F965" s="336"/>
      <c r="G965" s="336"/>
      <c r="H965" s="336"/>
      <c r="I965" s="336"/>
      <c r="J965" s="336"/>
      <c r="K965" s="336"/>
      <c r="L965" s="343"/>
      <c r="M965" s="335"/>
      <c r="N965" s="335"/>
      <c r="O965" s="335"/>
      <c r="P965" s="331"/>
      <c r="Q965" s="332"/>
      <c r="W965" s="60"/>
    </row>
    <row r="966" spans="1:23" ht="14.25">
      <c r="A966" s="335"/>
      <c r="B966" s="335"/>
      <c r="C966" s="335"/>
      <c r="D966" s="336"/>
      <c r="E966" s="336"/>
      <c r="F966" s="336"/>
      <c r="G966" s="336"/>
      <c r="H966" s="336"/>
      <c r="I966" s="336"/>
      <c r="J966" s="336"/>
      <c r="K966" s="336"/>
      <c r="L966" s="343"/>
      <c r="M966" s="335"/>
      <c r="N966" s="335"/>
      <c r="O966" s="335"/>
      <c r="P966" s="331"/>
      <c r="Q966" s="332"/>
      <c r="W966" s="60"/>
    </row>
    <row r="967" spans="1:23" ht="14.25">
      <c r="A967" s="335"/>
      <c r="B967" s="335"/>
      <c r="C967" s="335"/>
      <c r="D967" s="336"/>
      <c r="E967" s="336"/>
      <c r="F967" s="336"/>
      <c r="G967" s="336"/>
      <c r="H967" s="336"/>
      <c r="I967" s="336"/>
      <c r="J967" s="336"/>
      <c r="K967" s="336"/>
      <c r="L967" s="343"/>
      <c r="M967" s="335"/>
      <c r="N967" s="335"/>
      <c r="O967" s="335"/>
      <c r="P967" s="331"/>
      <c r="Q967" s="332"/>
      <c r="W967" s="60"/>
    </row>
    <row r="968" spans="1:23" ht="14.25">
      <c r="A968" s="335"/>
      <c r="B968" s="335"/>
      <c r="C968" s="335"/>
      <c r="D968" s="336"/>
      <c r="E968" s="336"/>
      <c r="F968" s="336"/>
      <c r="G968" s="336"/>
      <c r="H968" s="336"/>
      <c r="I968" s="336"/>
      <c r="J968" s="336"/>
      <c r="K968" s="336"/>
      <c r="L968" s="343"/>
      <c r="M968" s="335"/>
      <c r="N968" s="335"/>
      <c r="O968" s="335"/>
      <c r="P968" s="331"/>
      <c r="Q968" s="332"/>
      <c r="W968" s="60"/>
    </row>
    <row r="969" spans="1:23" ht="14.25">
      <c r="A969" s="335"/>
      <c r="B969" s="335"/>
      <c r="C969" s="335"/>
      <c r="D969" s="336"/>
      <c r="E969" s="336"/>
      <c r="F969" s="336"/>
      <c r="G969" s="336"/>
      <c r="H969" s="336"/>
      <c r="I969" s="336"/>
      <c r="J969" s="336"/>
      <c r="K969" s="336"/>
      <c r="L969" s="343"/>
      <c r="M969" s="335"/>
      <c r="N969" s="335"/>
      <c r="O969" s="335"/>
      <c r="P969" s="331"/>
      <c r="Q969" s="332"/>
      <c r="W969" s="60"/>
    </row>
    <row r="970" spans="1:23" ht="14.25">
      <c r="A970" s="335"/>
      <c r="B970" s="335"/>
      <c r="C970" s="335"/>
      <c r="D970" s="336"/>
      <c r="E970" s="336"/>
      <c r="F970" s="336"/>
      <c r="G970" s="336"/>
      <c r="H970" s="336"/>
      <c r="I970" s="336"/>
      <c r="J970" s="336"/>
      <c r="K970" s="336"/>
      <c r="L970" s="343"/>
      <c r="M970" s="335"/>
      <c r="N970" s="335"/>
      <c r="O970" s="335"/>
      <c r="P970" s="331"/>
      <c r="Q970" s="332"/>
      <c r="W970" s="60"/>
    </row>
    <row r="971" spans="1:23" ht="14.25">
      <c r="A971" s="335"/>
      <c r="B971" s="335"/>
      <c r="C971" s="335"/>
      <c r="D971" s="336"/>
      <c r="E971" s="336"/>
      <c r="F971" s="336"/>
      <c r="G971" s="336"/>
      <c r="H971" s="336"/>
      <c r="I971" s="336"/>
      <c r="J971" s="336"/>
      <c r="K971" s="336"/>
      <c r="L971" s="343"/>
      <c r="M971" s="335"/>
      <c r="N971" s="335"/>
      <c r="O971" s="335"/>
      <c r="P971" s="331"/>
      <c r="Q971" s="332"/>
      <c r="W971" s="60"/>
    </row>
    <row r="972" spans="1:23" ht="14.25">
      <c r="A972" s="335"/>
      <c r="B972" s="335"/>
      <c r="C972" s="335"/>
      <c r="D972" s="336"/>
      <c r="E972" s="336"/>
      <c r="F972" s="336"/>
      <c r="G972" s="336"/>
      <c r="H972" s="336"/>
      <c r="I972" s="336"/>
      <c r="J972" s="336"/>
      <c r="K972" s="336"/>
      <c r="L972" s="343"/>
      <c r="M972" s="335"/>
      <c r="N972" s="335"/>
      <c r="O972" s="335"/>
      <c r="P972" s="331"/>
      <c r="Q972" s="332"/>
      <c r="W972" s="60"/>
    </row>
    <row r="973" spans="1:23" ht="14.25">
      <c r="A973" s="335"/>
      <c r="B973" s="335"/>
      <c r="C973" s="335"/>
      <c r="D973" s="336"/>
      <c r="E973" s="336"/>
      <c r="F973" s="336"/>
      <c r="G973" s="336"/>
      <c r="H973" s="336"/>
      <c r="I973" s="336"/>
      <c r="J973" s="336"/>
      <c r="K973" s="336"/>
      <c r="L973" s="343"/>
      <c r="M973" s="335"/>
      <c r="N973" s="335"/>
      <c r="O973" s="335"/>
      <c r="P973" s="331"/>
      <c r="Q973" s="332"/>
      <c r="W973" s="60"/>
    </row>
    <row r="974" spans="1:23" ht="14.25">
      <c r="A974" s="335"/>
      <c r="B974" s="335"/>
      <c r="C974" s="335"/>
      <c r="D974" s="336"/>
      <c r="E974" s="336"/>
      <c r="F974" s="336"/>
      <c r="G974" s="336"/>
      <c r="H974" s="336"/>
      <c r="I974" s="336"/>
      <c r="J974" s="336"/>
      <c r="K974" s="336"/>
      <c r="L974" s="343"/>
      <c r="M974" s="335"/>
      <c r="N974" s="335"/>
      <c r="O974" s="335"/>
      <c r="P974" s="331"/>
      <c r="Q974" s="332"/>
      <c r="W974" s="60"/>
    </row>
    <row r="975" spans="1:23" ht="14.25">
      <c r="A975" s="335"/>
      <c r="B975" s="335"/>
      <c r="C975" s="335"/>
      <c r="D975" s="336"/>
      <c r="E975" s="336"/>
      <c r="F975" s="336"/>
      <c r="G975" s="336"/>
      <c r="H975" s="336"/>
      <c r="I975" s="336"/>
      <c r="J975" s="336"/>
      <c r="K975" s="336"/>
      <c r="L975" s="343"/>
      <c r="M975" s="335"/>
      <c r="N975" s="335"/>
      <c r="O975" s="335"/>
      <c r="P975" s="331"/>
      <c r="Q975" s="332"/>
      <c r="W975" s="60"/>
    </row>
    <row r="976" spans="1:23" ht="14.25">
      <c r="A976" s="335"/>
      <c r="B976" s="335"/>
      <c r="C976" s="335"/>
      <c r="D976" s="336"/>
      <c r="E976" s="336"/>
      <c r="F976" s="336"/>
      <c r="G976" s="336"/>
      <c r="H976" s="336"/>
      <c r="I976" s="336"/>
      <c r="J976" s="336"/>
      <c r="K976" s="336"/>
      <c r="L976" s="343"/>
      <c r="M976" s="335"/>
      <c r="N976" s="335"/>
      <c r="O976" s="335"/>
      <c r="P976" s="331"/>
      <c r="Q976" s="332"/>
      <c r="W976" s="60"/>
    </row>
    <row r="977" spans="1:23" ht="14.25">
      <c r="A977" s="335"/>
      <c r="B977" s="335"/>
      <c r="C977" s="335"/>
      <c r="D977" s="336"/>
      <c r="E977" s="336"/>
      <c r="F977" s="336"/>
      <c r="G977" s="336"/>
      <c r="H977" s="336"/>
      <c r="I977" s="336"/>
      <c r="J977" s="336"/>
      <c r="K977" s="336"/>
      <c r="L977" s="343"/>
      <c r="M977" s="335"/>
      <c r="N977" s="335"/>
      <c r="O977" s="335"/>
      <c r="P977" s="331"/>
      <c r="Q977" s="332"/>
      <c r="W977" s="60"/>
    </row>
    <row r="978" spans="1:23" ht="14.25">
      <c r="A978" s="335"/>
      <c r="B978" s="335"/>
      <c r="C978" s="335"/>
      <c r="D978" s="336"/>
      <c r="E978" s="336"/>
      <c r="F978" s="336"/>
      <c r="G978" s="336"/>
      <c r="H978" s="336"/>
      <c r="I978" s="336"/>
      <c r="J978" s="336"/>
      <c r="K978" s="336"/>
      <c r="L978" s="343"/>
      <c r="M978" s="335"/>
      <c r="N978" s="335"/>
      <c r="O978" s="335"/>
      <c r="P978" s="331"/>
      <c r="Q978" s="332"/>
      <c r="W978" s="60"/>
    </row>
    <row r="979" spans="1:23" ht="14.25">
      <c r="A979" s="335"/>
      <c r="B979" s="335"/>
      <c r="C979" s="335"/>
      <c r="D979" s="336"/>
      <c r="E979" s="336"/>
      <c r="F979" s="336"/>
      <c r="G979" s="336"/>
      <c r="H979" s="336"/>
      <c r="I979" s="336"/>
      <c r="J979" s="336"/>
      <c r="K979" s="336"/>
      <c r="L979" s="343"/>
      <c r="M979" s="335"/>
      <c r="N979" s="335"/>
      <c r="O979" s="335"/>
      <c r="P979" s="331"/>
      <c r="Q979" s="332"/>
      <c r="W979" s="60"/>
    </row>
    <row r="980" spans="1:23" ht="14.25">
      <c r="A980" s="335"/>
      <c r="B980" s="335"/>
      <c r="C980" s="335"/>
      <c r="D980" s="336"/>
      <c r="E980" s="336"/>
      <c r="F980" s="336"/>
      <c r="G980" s="336"/>
      <c r="H980" s="336"/>
      <c r="I980" s="336"/>
      <c r="J980" s="336"/>
      <c r="K980" s="336"/>
      <c r="L980" s="343"/>
      <c r="M980" s="335"/>
      <c r="N980" s="335"/>
      <c r="O980" s="335"/>
      <c r="P980" s="331"/>
      <c r="Q980" s="332"/>
      <c r="W980" s="60"/>
    </row>
    <row r="981" spans="1:23" ht="14.25">
      <c r="A981" s="335"/>
      <c r="B981" s="335"/>
      <c r="C981" s="335"/>
      <c r="D981" s="336"/>
      <c r="E981" s="336"/>
      <c r="F981" s="336"/>
      <c r="G981" s="336"/>
      <c r="H981" s="336"/>
      <c r="I981" s="336"/>
      <c r="J981" s="336"/>
      <c r="K981" s="336"/>
      <c r="L981" s="343"/>
      <c r="M981" s="335"/>
      <c r="N981" s="335"/>
      <c r="O981" s="335"/>
      <c r="P981" s="331"/>
      <c r="Q981" s="332"/>
      <c r="W981" s="60"/>
    </row>
    <row r="982" spans="1:23" ht="14.25">
      <c r="A982" s="335"/>
      <c r="B982" s="335"/>
      <c r="C982" s="335"/>
      <c r="D982" s="336"/>
      <c r="E982" s="336"/>
      <c r="F982" s="336"/>
      <c r="G982" s="336"/>
      <c r="H982" s="336"/>
      <c r="I982" s="336"/>
      <c r="J982" s="336"/>
      <c r="K982" s="336"/>
      <c r="L982" s="343"/>
      <c r="M982" s="335"/>
      <c r="N982" s="335"/>
      <c r="O982" s="335"/>
      <c r="P982" s="331"/>
      <c r="Q982" s="332"/>
      <c r="W982" s="60"/>
    </row>
    <row r="983" spans="1:23" ht="14.25">
      <c r="A983" s="335"/>
      <c r="B983" s="335"/>
      <c r="C983" s="335"/>
      <c r="D983" s="336"/>
      <c r="E983" s="336"/>
      <c r="F983" s="336"/>
      <c r="G983" s="336"/>
      <c r="H983" s="336"/>
      <c r="I983" s="336"/>
      <c r="J983" s="336"/>
      <c r="K983" s="336"/>
      <c r="L983" s="343"/>
      <c r="M983" s="335"/>
      <c r="N983" s="335"/>
      <c r="O983" s="335"/>
      <c r="P983" s="331"/>
      <c r="Q983" s="332"/>
      <c r="W983" s="60"/>
    </row>
    <row r="984" spans="1:23" ht="14.25">
      <c r="A984" s="335"/>
      <c r="B984" s="335"/>
      <c r="C984" s="335"/>
      <c r="D984" s="336"/>
      <c r="E984" s="336"/>
      <c r="F984" s="336"/>
      <c r="G984" s="336"/>
      <c r="H984" s="336"/>
      <c r="I984" s="336"/>
      <c r="J984" s="336"/>
      <c r="K984" s="336"/>
      <c r="L984" s="343"/>
      <c r="M984" s="335"/>
      <c r="N984" s="335"/>
      <c r="O984" s="335"/>
      <c r="P984" s="331"/>
      <c r="Q984" s="332"/>
      <c r="W984" s="60"/>
    </row>
    <row r="985" spans="1:23" ht="14.25">
      <c r="A985" s="335"/>
      <c r="B985" s="335"/>
      <c r="C985" s="335"/>
      <c r="D985" s="336"/>
      <c r="E985" s="336"/>
      <c r="F985" s="336"/>
      <c r="G985" s="336"/>
      <c r="H985" s="336"/>
      <c r="I985" s="336"/>
      <c r="J985" s="336"/>
      <c r="K985" s="336"/>
      <c r="L985" s="343"/>
      <c r="M985" s="335"/>
      <c r="N985" s="335"/>
      <c r="O985" s="335"/>
      <c r="P985" s="331"/>
      <c r="Q985" s="332"/>
      <c r="W985" s="60"/>
    </row>
    <row r="986" spans="1:23" ht="14.25">
      <c r="A986" s="335"/>
      <c r="B986" s="335"/>
      <c r="C986" s="335"/>
      <c r="D986" s="336"/>
      <c r="E986" s="336"/>
      <c r="F986" s="336"/>
      <c r="G986" s="336"/>
      <c r="H986" s="336"/>
      <c r="I986" s="336"/>
      <c r="J986" s="336"/>
      <c r="K986" s="336"/>
      <c r="L986" s="343"/>
      <c r="M986" s="335"/>
      <c r="N986" s="335"/>
      <c r="O986" s="335"/>
      <c r="P986" s="331"/>
      <c r="Q986" s="332"/>
      <c r="W986" s="60"/>
    </row>
    <row r="987" spans="1:23" ht="14.25">
      <c r="A987" s="335"/>
      <c r="B987" s="335"/>
      <c r="C987" s="335"/>
      <c r="D987" s="336"/>
      <c r="E987" s="336"/>
      <c r="F987" s="336"/>
      <c r="G987" s="336"/>
      <c r="H987" s="336"/>
      <c r="I987" s="336"/>
      <c r="J987" s="336"/>
      <c r="K987" s="336"/>
      <c r="L987" s="343"/>
      <c r="M987" s="335"/>
      <c r="N987" s="335"/>
      <c r="O987" s="335"/>
      <c r="P987" s="331"/>
      <c r="Q987" s="332"/>
      <c r="W987" s="60"/>
    </row>
    <row r="988" spans="1:23" ht="14.25">
      <c r="A988" s="335"/>
      <c r="B988" s="335"/>
      <c r="C988" s="335"/>
      <c r="D988" s="336"/>
      <c r="E988" s="336"/>
      <c r="F988" s="336"/>
      <c r="G988" s="336"/>
      <c r="H988" s="336"/>
      <c r="I988" s="336"/>
      <c r="J988" s="336"/>
      <c r="K988" s="336"/>
      <c r="L988" s="343"/>
      <c r="M988" s="335"/>
      <c r="N988" s="335"/>
      <c r="O988" s="335"/>
      <c r="P988" s="331"/>
      <c r="Q988" s="332"/>
      <c r="W988" s="60"/>
    </row>
    <row r="989" spans="1:23" ht="14.25">
      <c r="A989" s="335"/>
      <c r="B989" s="335"/>
      <c r="C989" s="335"/>
      <c r="D989" s="336"/>
      <c r="E989" s="336"/>
      <c r="F989" s="336"/>
      <c r="G989" s="336"/>
      <c r="H989" s="336"/>
      <c r="I989" s="336"/>
      <c r="J989" s="336"/>
      <c r="K989" s="336"/>
      <c r="L989" s="343"/>
      <c r="M989" s="335"/>
      <c r="N989" s="335"/>
      <c r="O989" s="335"/>
      <c r="P989" s="331"/>
      <c r="Q989" s="332"/>
      <c r="W989" s="60"/>
    </row>
    <row r="990" spans="1:23" ht="14.25">
      <c r="A990" s="335"/>
      <c r="B990" s="335"/>
      <c r="C990" s="335"/>
      <c r="D990" s="336"/>
      <c r="E990" s="336"/>
      <c r="F990" s="336"/>
      <c r="G990" s="336"/>
      <c r="H990" s="336"/>
      <c r="I990" s="336"/>
      <c r="J990" s="336"/>
      <c r="K990" s="336"/>
      <c r="L990" s="343"/>
      <c r="M990" s="335"/>
      <c r="N990" s="335"/>
      <c r="O990" s="335"/>
      <c r="P990" s="331"/>
      <c r="Q990" s="332"/>
      <c r="W990" s="60"/>
    </row>
  </sheetData>
  <mergeCells count="12">
    <mergeCell ref="A38:O38"/>
    <mergeCell ref="A45:O45"/>
    <mergeCell ref="A3:O3"/>
    <mergeCell ref="A10:O10"/>
    <mergeCell ref="A17:O17"/>
    <mergeCell ref="A24:O24"/>
    <mergeCell ref="A31:O31"/>
    <mergeCell ref="A52:O52"/>
    <mergeCell ref="A59:O59"/>
    <mergeCell ref="A66:O66"/>
    <mergeCell ref="A73:O73"/>
    <mergeCell ref="A81:O81"/>
  </mergeCells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M41"/>
  <sheetViews>
    <sheetView workbookViewId="0">
      <pane xSplit="3" topLeftCell="D1" activePane="topRight" state="frozen"/>
      <selection pane="topRight" activeCell="AK24" sqref="AK24"/>
    </sheetView>
  </sheetViews>
  <sheetFormatPr baseColWidth="10" defaultColWidth="12.5703125" defaultRowHeight="15.75" customHeight="1"/>
  <cols>
    <col min="2" max="2" width="32.42578125" bestFit="1" customWidth="1"/>
    <col min="3" max="4" width="13.42578125" bestFit="1" customWidth="1"/>
    <col min="5" max="6" width="12.28515625" bestFit="1" customWidth="1"/>
    <col min="7" max="7" width="13.42578125" bestFit="1" customWidth="1"/>
    <col min="8" max="8" width="12" bestFit="1" customWidth="1"/>
    <col min="9" max="9" width="12.28515625" bestFit="1" customWidth="1"/>
    <col min="10" max="10" width="13.42578125" bestFit="1" customWidth="1"/>
    <col min="11" max="12" width="12.28515625" bestFit="1" customWidth="1"/>
    <col min="13" max="13" width="13.42578125" bestFit="1" customWidth="1"/>
    <col min="14" max="14" width="13" bestFit="1" customWidth="1"/>
    <col min="15" max="15" width="12.28515625" bestFit="1" customWidth="1"/>
    <col min="16" max="16" width="13.42578125" bestFit="1" customWidth="1"/>
    <col min="17" max="18" width="12.28515625" bestFit="1" customWidth="1"/>
    <col min="19" max="19" width="13.42578125" bestFit="1" customWidth="1"/>
    <col min="20" max="21" width="12.28515625" bestFit="1" customWidth="1"/>
    <col min="22" max="22" width="13.42578125" bestFit="1" customWidth="1"/>
    <col min="23" max="24" width="12.28515625" bestFit="1" customWidth="1"/>
    <col min="25" max="25" width="13.42578125" bestFit="1" customWidth="1"/>
    <col min="26" max="27" width="12.28515625" bestFit="1" customWidth="1"/>
    <col min="28" max="28" width="13.42578125" bestFit="1" customWidth="1"/>
    <col min="29" max="30" width="12.28515625" bestFit="1" customWidth="1"/>
    <col min="31" max="31" width="13.42578125" bestFit="1" customWidth="1"/>
    <col min="32" max="33" width="12.28515625" bestFit="1" customWidth="1"/>
    <col min="34" max="34" width="13.42578125" bestFit="1" customWidth="1"/>
    <col min="35" max="36" width="12.28515625" bestFit="1" customWidth="1"/>
    <col min="37" max="37" width="13.42578125" bestFit="1" customWidth="1"/>
    <col min="38" max="38" width="5.7109375" bestFit="1" customWidth="1"/>
    <col min="39" max="39" width="12.28515625" bestFit="1" customWidth="1"/>
  </cols>
  <sheetData>
    <row r="1" spans="1:39" ht="15.75" customHeight="1">
      <c r="B1" s="349" t="s">
        <v>447</v>
      </c>
      <c r="C1" s="350">
        <f>SUM(D2:AN2)</f>
        <v>1.2</v>
      </c>
      <c r="D1" s="351">
        <v>5</v>
      </c>
      <c r="E1" s="351">
        <f>D1+100</f>
        <v>105</v>
      </c>
      <c r="F1" s="351"/>
      <c r="G1" s="351">
        <v>6</v>
      </c>
      <c r="H1" s="351">
        <f>G1+100</f>
        <v>106</v>
      </c>
      <c r="I1" s="351"/>
      <c r="J1" s="351">
        <v>7</v>
      </c>
      <c r="K1" s="351">
        <f>J1+100</f>
        <v>107</v>
      </c>
      <c r="L1" s="351"/>
      <c r="M1" s="351">
        <v>8</v>
      </c>
      <c r="N1" s="351">
        <f>M1+100</f>
        <v>108</v>
      </c>
      <c r="O1" s="351"/>
      <c r="P1" s="351">
        <v>9</v>
      </c>
      <c r="Q1" s="351">
        <f>P1+100</f>
        <v>109</v>
      </c>
      <c r="R1" s="351"/>
      <c r="S1" s="351">
        <v>10</v>
      </c>
      <c r="T1" s="351">
        <f>S1+100</f>
        <v>110</v>
      </c>
      <c r="U1" s="351"/>
      <c r="V1" s="351">
        <v>11</v>
      </c>
      <c r="W1" s="351">
        <f>V1+100</f>
        <v>111</v>
      </c>
      <c r="X1" s="351"/>
      <c r="Y1" s="351">
        <v>12</v>
      </c>
      <c r="Z1" s="351">
        <f>Y1+100</f>
        <v>112</v>
      </c>
      <c r="AA1" s="351"/>
      <c r="AB1" s="351">
        <v>1</v>
      </c>
      <c r="AC1" s="351">
        <f>AB1+100</f>
        <v>101</v>
      </c>
      <c r="AD1" s="351"/>
      <c r="AE1" s="351">
        <v>2</v>
      </c>
      <c r="AF1" s="351">
        <f>AE1+100</f>
        <v>102</v>
      </c>
      <c r="AG1" s="351"/>
      <c r="AH1" s="351">
        <v>3</v>
      </c>
      <c r="AI1" s="351">
        <f>AH1+100</f>
        <v>103</v>
      </c>
      <c r="AJ1" s="351"/>
      <c r="AK1" s="351">
        <v>4</v>
      </c>
      <c r="AL1" s="351">
        <f>AK1+100</f>
        <v>104</v>
      </c>
      <c r="AM1" s="351"/>
    </row>
    <row r="2" spans="1:39" ht="15.75" customHeight="1">
      <c r="B2" s="349" t="s">
        <v>448</v>
      </c>
      <c r="C2" s="352">
        <v>40</v>
      </c>
      <c r="D2" s="353">
        <v>0.1</v>
      </c>
      <c r="E2" s="353"/>
      <c r="F2" s="353"/>
      <c r="G2" s="353">
        <v>0.1</v>
      </c>
      <c r="H2" s="353"/>
      <c r="I2" s="353"/>
      <c r="J2" s="353">
        <v>0.1</v>
      </c>
      <c r="K2" s="353"/>
      <c r="L2" s="353"/>
      <c r="M2" s="353">
        <v>0.1</v>
      </c>
      <c r="N2" s="353"/>
      <c r="O2" s="353"/>
      <c r="P2" s="353">
        <v>0.1</v>
      </c>
      <c r="Q2" s="353"/>
      <c r="R2" s="353"/>
      <c r="S2" s="353">
        <v>0.1</v>
      </c>
      <c r="T2" s="353"/>
      <c r="U2" s="353"/>
      <c r="V2" s="353">
        <v>0.1</v>
      </c>
      <c r="W2" s="354"/>
      <c r="X2" s="354"/>
      <c r="Y2" s="354">
        <v>0.1</v>
      </c>
      <c r="Z2" s="354"/>
      <c r="AA2" s="354"/>
      <c r="AB2" s="354">
        <v>0.1</v>
      </c>
      <c r="AC2" s="354"/>
      <c r="AD2" s="354"/>
      <c r="AE2" s="354">
        <v>0.1</v>
      </c>
      <c r="AF2" s="354"/>
      <c r="AG2" s="354"/>
      <c r="AH2" s="354">
        <v>0.1</v>
      </c>
      <c r="AI2" s="354"/>
      <c r="AJ2" s="354"/>
      <c r="AK2" s="354">
        <v>0.1</v>
      </c>
      <c r="AL2" s="354"/>
      <c r="AM2" s="354"/>
    </row>
    <row r="3" spans="1:39" ht="12.75">
      <c r="B3" s="238" t="s">
        <v>67</v>
      </c>
      <c r="C3" s="355" t="s">
        <v>449</v>
      </c>
      <c r="D3" s="115" t="s">
        <v>19</v>
      </c>
      <c r="E3" s="115"/>
      <c r="F3" s="115"/>
      <c r="G3" s="115" t="s">
        <v>20</v>
      </c>
      <c r="H3" s="115"/>
      <c r="I3" s="115"/>
      <c r="J3" s="115" t="s">
        <v>21</v>
      </c>
      <c r="K3" s="115"/>
      <c r="L3" s="115"/>
      <c r="M3" s="115" t="s">
        <v>22</v>
      </c>
      <c r="N3" s="115"/>
      <c r="O3" s="115"/>
      <c r="P3" s="115" t="s">
        <v>23</v>
      </c>
      <c r="Q3" s="115"/>
      <c r="R3" s="115"/>
      <c r="S3" s="115" t="s">
        <v>24</v>
      </c>
      <c r="T3" s="115"/>
      <c r="U3" s="115"/>
      <c r="V3" s="115" t="s">
        <v>25</v>
      </c>
      <c r="W3" s="115"/>
      <c r="X3" s="115"/>
      <c r="Y3" s="115" t="s">
        <v>26</v>
      </c>
      <c r="Z3" s="115"/>
      <c r="AA3" s="115"/>
      <c r="AB3" s="115" t="s">
        <v>27</v>
      </c>
      <c r="AC3" s="115"/>
      <c r="AD3" s="115"/>
      <c r="AE3" s="115" t="s">
        <v>28</v>
      </c>
      <c r="AF3" s="115"/>
      <c r="AG3" s="115"/>
      <c r="AH3" s="115" t="s">
        <v>29</v>
      </c>
      <c r="AI3" s="115"/>
      <c r="AJ3" s="115"/>
      <c r="AK3" s="115" t="s">
        <v>30</v>
      </c>
      <c r="AL3" s="115"/>
      <c r="AM3" s="115"/>
    </row>
    <row r="4" spans="1:39" ht="12.75">
      <c r="A4" s="453" t="s">
        <v>71</v>
      </c>
      <c r="B4" s="300" t="s">
        <v>71</v>
      </c>
      <c r="C4" s="356">
        <v>98500</v>
      </c>
      <c r="D4" s="60">
        <v>98500</v>
      </c>
      <c r="E4" s="60">
        <f>SIC!$I6</f>
        <v>65000</v>
      </c>
      <c r="F4" s="60">
        <f t="shared" ref="F4:F23" si="0">D4-E4</f>
        <v>33500</v>
      </c>
      <c r="G4" s="60">
        <v>98500</v>
      </c>
      <c r="H4" s="60">
        <f>SIC!$I26</f>
        <v>65000</v>
      </c>
      <c r="I4" s="60">
        <f t="shared" ref="I4:I23" si="1">G4-H4</f>
        <v>33500</v>
      </c>
      <c r="J4" s="60">
        <v>98500</v>
      </c>
      <c r="K4" s="357">
        <f>SIC!$I45</f>
        <v>63870</v>
      </c>
      <c r="L4" s="60">
        <f t="shared" ref="L4:L23" si="2">J4-K4</f>
        <v>34630</v>
      </c>
      <c r="M4" s="60">
        <v>110000</v>
      </c>
      <c r="N4" s="357">
        <f>SIC!$I64</f>
        <v>80000</v>
      </c>
      <c r="O4" s="60">
        <f t="shared" ref="O4:O23" si="3">M4-N4</f>
        <v>30000</v>
      </c>
      <c r="P4" s="60">
        <v>110000</v>
      </c>
      <c r="Q4" s="357">
        <f>SIC!$I83</f>
        <v>80000</v>
      </c>
      <c r="R4" s="60">
        <f t="shared" ref="R4:R23" si="4">P4-Q4</f>
        <v>30000</v>
      </c>
      <c r="S4" s="60">
        <v>110000</v>
      </c>
      <c r="T4" s="357">
        <f>SIC!$I102</f>
        <v>80000</v>
      </c>
      <c r="U4" s="60">
        <f t="shared" ref="U4:U23" si="5">S4-T4</f>
        <v>30000</v>
      </c>
      <c r="V4" s="60">
        <v>110000</v>
      </c>
      <c r="W4" s="357">
        <f>SIC!$I121</f>
        <v>80000</v>
      </c>
      <c r="X4" s="60">
        <f t="shared" ref="X4:X23" si="6">V4-W4</f>
        <v>30000</v>
      </c>
      <c r="Y4" s="60">
        <v>110000</v>
      </c>
      <c r="Z4" s="357">
        <f>SIC!$I140</f>
        <v>80000</v>
      </c>
      <c r="AA4" s="60">
        <f t="shared" ref="AA4:AA23" si="7">Y4-Z4</f>
        <v>30000</v>
      </c>
      <c r="AB4" s="60">
        <v>110000</v>
      </c>
      <c r="AC4" s="357">
        <f>SIC!$I160</f>
        <v>80000</v>
      </c>
      <c r="AD4" s="60">
        <f t="shared" ref="AD4:AD23" si="8">AB4-AC4</f>
        <v>30000</v>
      </c>
      <c r="AE4" s="60">
        <v>125000</v>
      </c>
      <c r="AF4" s="357">
        <f>SIC!$I180</f>
        <v>98500</v>
      </c>
      <c r="AG4" s="60">
        <f t="shared" ref="AG4:AG23" si="9">AE4-AF4</f>
        <v>26500</v>
      </c>
      <c r="AH4" s="60">
        <v>125000</v>
      </c>
      <c r="AI4" s="357">
        <f>SIC!$I200</f>
        <v>98500</v>
      </c>
      <c r="AJ4" s="60">
        <f t="shared" ref="AJ4:AJ23" si="10">AH4-AI4</f>
        <v>26500</v>
      </c>
      <c r="AK4" s="60">
        <v>125000</v>
      </c>
      <c r="AL4" s="357">
        <f>SIC!$I220</f>
        <v>0</v>
      </c>
      <c r="AM4" s="60">
        <f t="shared" ref="AM4:AM23" si="11">AK4-AL4</f>
        <v>125000</v>
      </c>
    </row>
    <row r="5" spans="1:39" ht="12.75">
      <c r="A5" s="453" t="s">
        <v>603</v>
      </c>
      <c r="B5" s="300" t="s">
        <v>73</v>
      </c>
      <c r="C5" s="356">
        <v>11093.66673463975</v>
      </c>
      <c r="D5" s="60">
        <f t="shared" ref="D5:D22" si="12">C5*(1+$D$2)</f>
        <v>12203.033408103725</v>
      </c>
      <c r="E5" s="60">
        <f>SIC!I7</f>
        <v>4717.79</v>
      </c>
      <c r="F5" s="60">
        <f t="shared" si="0"/>
        <v>7485.2434081037254</v>
      </c>
      <c r="G5" s="60">
        <f t="shared" ref="G5:G15" si="13">D5*(1+$G$2)</f>
        <v>13423.336748914098</v>
      </c>
      <c r="H5" s="60">
        <f>SIC!$I27</f>
        <v>4717.79</v>
      </c>
      <c r="I5" s="60">
        <f t="shared" si="1"/>
        <v>8705.5467489140974</v>
      </c>
      <c r="J5" s="60">
        <f t="shared" ref="J5:J15" si="14">G5*(1+$J$2)</f>
        <v>14765.67042380551</v>
      </c>
      <c r="K5" s="357">
        <f>SIC!$I46</f>
        <v>6085.95</v>
      </c>
      <c r="L5" s="60">
        <f t="shared" si="2"/>
        <v>8679.7204238055092</v>
      </c>
      <c r="M5" s="60">
        <f t="shared" ref="M5:M15" si="15">J5*(1+$M$2)</f>
        <v>16242.237466186063</v>
      </c>
      <c r="N5" s="357">
        <f>SIC!$I65</f>
        <v>6085.95</v>
      </c>
      <c r="O5" s="60">
        <f t="shared" si="3"/>
        <v>10156.287466186062</v>
      </c>
      <c r="P5" s="60">
        <f t="shared" ref="P5:P15" si="16">M5*(1+$P$2)</f>
        <v>17866.461212804672</v>
      </c>
      <c r="Q5" s="357">
        <f>SIC!$I84</f>
        <v>6085.95</v>
      </c>
      <c r="R5" s="60">
        <f t="shared" si="4"/>
        <v>11780.511212804671</v>
      </c>
      <c r="S5" s="60">
        <f t="shared" ref="S5:S15" si="17">P5*(1+$S$2)</f>
        <v>19653.10733408514</v>
      </c>
      <c r="T5" s="357">
        <f>SIC!$I103</f>
        <v>6085.95</v>
      </c>
      <c r="U5" s="60">
        <f t="shared" si="5"/>
        <v>13567.157334085139</v>
      </c>
      <c r="V5" s="60">
        <f t="shared" ref="V5:V15" si="18">S5*(1+$V$2)</f>
        <v>21618.418067493654</v>
      </c>
      <c r="W5" s="357">
        <f>SIC!$I122</f>
        <v>7911.73</v>
      </c>
      <c r="X5" s="60">
        <f t="shared" si="6"/>
        <v>13706.688067493655</v>
      </c>
      <c r="Y5" s="60">
        <f t="shared" ref="Y5:Y15" si="19">V5*(1+$Y$2)</f>
        <v>23780.25987424302</v>
      </c>
      <c r="Z5" s="357">
        <f>SIC!$I141</f>
        <v>7911.73</v>
      </c>
      <c r="AA5" s="60">
        <f t="shared" si="7"/>
        <v>15868.52987424302</v>
      </c>
      <c r="AB5" s="60">
        <f t="shared" ref="AB5:AB6" si="20">Y5*(1+$AB$2)</f>
        <v>26158.285861667326</v>
      </c>
      <c r="AC5" s="357">
        <f>SIC!$I161</f>
        <v>7911.73</v>
      </c>
      <c r="AD5" s="60">
        <f t="shared" si="8"/>
        <v>18246.555861667326</v>
      </c>
      <c r="AE5" s="60">
        <f t="shared" ref="AE5:AE15" si="21">AB5*(1+$AE$2)</f>
        <v>28774.114447834061</v>
      </c>
      <c r="AF5" s="357">
        <f>SIC!$I181</f>
        <v>7911.73</v>
      </c>
      <c r="AG5" s="60">
        <f t="shared" si="9"/>
        <v>20862.384447834062</v>
      </c>
      <c r="AH5" s="60">
        <f t="shared" ref="AH5:AH15" si="22">AE5*(1+$AH$2)</f>
        <v>31651.525892617468</v>
      </c>
      <c r="AI5" s="357">
        <f>SIC!$I201</f>
        <v>9850.11</v>
      </c>
      <c r="AJ5" s="60">
        <f t="shared" si="10"/>
        <v>21801.415892617468</v>
      </c>
      <c r="AK5" s="60">
        <f t="shared" ref="AK5:AK15" si="23">AH5*(1+$AK$2)</f>
        <v>34816.678481879215</v>
      </c>
      <c r="AL5" s="357">
        <f>SIC!$I221</f>
        <v>0</v>
      </c>
      <c r="AM5" s="60">
        <f t="shared" si="11"/>
        <v>34816.678481879215</v>
      </c>
    </row>
    <row r="6" spans="1:39" ht="12.75">
      <c r="A6" s="453" t="s">
        <v>606</v>
      </c>
      <c r="B6" s="300" t="s">
        <v>74</v>
      </c>
      <c r="C6" s="356">
        <v>1283.1674523066649</v>
      </c>
      <c r="D6" s="60">
        <f t="shared" si="12"/>
        <v>1411.4841975373315</v>
      </c>
      <c r="E6" s="60">
        <f>SIC!I8</f>
        <v>555.02</v>
      </c>
      <c r="F6" s="60">
        <f t="shared" si="0"/>
        <v>856.46419753733153</v>
      </c>
      <c r="G6" s="60">
        <f t="shared" si="13"/>
        <v>1552.6326172910649</v>
      </c>
      <c r="H6" s="60">
        <f>SIC!$I28</f>
        <v>555.02</v>
      </c>
      <c r="I6" s="60">
        <f t="shared" si="1"/>
        <v>997.61261729106491</v>
      </c>
      <c r="J6" s="60">
        <f t="shared" si="14"/>
        <v>1707.8958790201716</v>
      </c>
      <c r="K6" s="357">
        <f>SIC!$I47</f>
        <v>1869.79</v>
      </c>
      <c r="L6" s="60">
        <f t="shared" si="2"/>
        <v>-161.89412097982836</v>
      </c>
      <c r="M6" s="60">
        <f t="shared" si="15"/>
        <v>1878.6854669221889</v>
      </c>
      <c r="N6" s="357">
        <f>SIC!$I66</f>
        <v>555.02</v>
      </c>
      <c r="O6" s="60">
        <f t="shared" si="3"/>
        <v>1323.6654669221889</v>
      </c>
      <c r="P6" s="60">
        <f t="shared" si="16"/>
        <v>2066.5540136144077</v>
      </c>
      <c r="Q6" s="357">
        <f>SIC!$I85</f>
        <v>555.02</v>
      </c>
      <c r="R6" s="60">
        <f t="shared" si="4"/>
        <v>1511.5340136144077</v>
      </c>
      <c r="S6" s="60">
        <f t="shared" si="17"/>
        <v>2273.2094149758486</v>
      </c>
      <c r="T6" s="357">
        <f>SIC!$I104</f>
        <v>555.02</v>
      </c>
      <c r="U6" s="60">
        <f t="shared" si="5"/>
        <v>1718.1894149758486</v>
      </c>
      <c r="V6" s="60">
        <f t="shared" si="18"/>
        <v>2500.5303564734336</v>
      </c>
      <c r="W6" s="357">
        <f>SIC!$I123</f>
        <v>555.02</v>
      </c>
      <c r="X6" s="60">
        <f t="shared" si="6"/>
        <v>1945.5103564734336</v>
      </c>
      <c r="Y6" s="60">
        <f t="shared" si="19"/>
        <v>2750.5833921207773</v>
      </c>
      <c r="Z6" s="357">
        <f>SIC!$I142</f>
        <v>555.02</v>
      </c>
      <c r="AA6" s="60">
        <f t="shared" si="7"/>
        <v>2195.5633921207773</v>
      </c>
      <c r="AB6" s="60">
        <f t="shared" si="20"/>
        <v>3025.6417313328552</v>
      </c>
      <c r="AC6" s="357">
        <f>SIC!$I162</f>
        <v>1916.27</v>
      </c>
      <c r="AD6" s="60">
        <f t="shared" si="8"/>
        <v>1109.3717313328552</v>
      </c>
      <c r="AE6" s="60">
        <f t="shared" si="21"/>
        <v>3328.205904466141</v>
      </c>
      <c r="AF6" s="357">
        <f>SIC!$I182</f>
        <v>1916.27</v>
      </c>
      <c r="AG6" s="60">
        <f t="shared" si="9"/>
        <v>1411.935904466141</v>
      </c>
      <c r="AH6" s="60">
        <f t="shared" si="22"/>
        <v>3661.0264949127554</v>
      </c>
      <c r="AI6" s="357">
        <f>SIC!$I202</f>
        <v>1916.27</v>
      </c>
      <c r="AJ6" s="60">
        <f t="shared" si="10"/>
        <v>1744.7564949127554</v>
      </c>
      <c r="AK6" s="60">
        <f t="shared" si="23"/>
        <v>4027.1291444040312</v>
      </c>
      <c r="AL6" s="357">
        <f>SIC!$I222</f>
        <v>0</v>
      </c>
      <c r="AM6" s="60">
        <f t="shared" si="11"/>
        <v>4027.1291444040312</v>
      </c>
    </row>
    <row r="7" spans="1:39" ht="12.75">
      <c r="A7" s="453" t="s">
        <v>603</v>
      </c>
      <c r="B7" s="300" t="s">
        <v>75</v>
      </c>
      <c r="C7" s="356">
        <v>33275.000000000007</v>
      </c>
      <c r="D7" s="60">
        <f t="shared" si="12"/>
        <v>36602.500000000015</v>
      </c>
      <c r="E7" s="60">
        <f>SIC!I9</f>
        <v>3620.24</v>
      </c>
      <c r="F7" s="60">
        <f t="shared" si="0"/>
        <v>32982.260000000017</v>
      </c>
      <c r="G7" s="60">
        <f t="shared" si="13"/>
        <v>40262.750000000022</v>
      </c>
      <c r="H7" s="60">
        <f>SIC!$I29</f>
        <v>7056.74</v>
      </c>
      <c r="I7" s="60">
        <f t="shared" si="1"/>
        <v>33206.010000000024</v>
      </c>
      <c r="J7" s="60">
        <f t="shared" si="14"/>
        <v>44289.025000000031</v>
      </c>
      <c r="K7" s="357">
        <f>SIC!$I48</f>
        <v>7653.85</v>
      </c>
      <c r="L7" s="60">
        <f t="shared" si="2"/>
        <v>36635.175000000032</v>
      </c>
      <c r="M7" s="60">
        <f t="shared" si="15"/>
        <v>48717.927500000034</v>
      </c>
      <c r="N7" s="357">
        <f>SIC!$I67</f>
        <v>16559.71</v>
      </c>
      <c r="O7" s="60">
        <f t="shared" si="3"/>
        <v>32158.217500000035</v>
      </c>
      <c r="P7" s="60">
        <f t="shared" si="16"/>
        <v>53589.720250000042</v>
      </c>
      <c r="Q7" s="357">
        <f>SIC!$I86</f>
        <v>9673.6</v>
      </c>
      <c r="R7" s="60">
        <f t="shared" si="4"/>
        <v>43916.120250000044</v>
      </c>
      <c r="S7" s="60">
        <f t="shared" si="17"/>
        <v>58948.692275000052</v>
      </c>
      <c r="T7" s="357">
        <f>SIC!$I105</f>
        <v>9351.8700000000008</v>
      </c>
      <c r="U7" s="60">
        <f t="shared" si="5"/>
        <v>49596.82227500005</v>
      </c>
      <c r="V7" s="60">
        <f t="shared" si="18"/>
        <v>64843.561502500066</v>
      </c>
      <c r="W7" s="357">
        <f>SIC!$I124</f>
        <v>10938</v>
      </c>
      <c r="X7" s="60">
        <f t="shared" si="6"/>
        <v>53905.561502500066</v>
      </c>
      <c r="Y7" s="60">
        <f t="shared" si="19"/>
        <v>71327.917652750082</v>
      </c>
      <c r="Z7" s="357">
        <f>SIC!$I143</f>
        <v>20324.689999999999</v>
      </c>
      <c r="AA7" s="60">
        <f t="shared" si="7"/>
        <v>51003.22765275008</v>
      </c>
      <c r="AB7" s="60">
        <v>25000</v>
      </c>
      <c r="AC7" s="357">
        <f>SIC!$I163</f>
        <v>22379.82</v>
      </c>
      <c r="AD7" s="60">
        <f t="shared" si="8"/>
        <v>2620.1800000000003</v>
      </c>
      <c r="AE7" s="60">
        <f t="shared" si="21"/>
        <v>27500.000000000004</v>
      </c>
      <c r="AF7" s="357">
        <f>SIC!$I183</f>
        <v>28535.73</v>
      </c>
      <c r="AG7" s="60">
        <f t="shared" si="9"/>
        <v>-1035.7299999999959</v>
      </c>
      <c r="AH7" s="60">
        <f t="shared" si="22"/>
        <v>30250.000000000007</v>
      </c>
      <c r="AI7" s="357">
        <f>SIC!$I203</f>
        <v>28872.2</v>
      </c>
      <c r="AJ7" s="60">
        <f t="shared" si="10"/>
        <v>1377.8000000000065</v>
      </c>
      <c r="AK7" s="60">
        <f t="shared" si="23"/>
        <v>33275.000000000007</v>
      </c>
      <c r="AL7" s="357">
        <f>SIC!$I223</f>
        <v>0</v>
      </c>
      <c r="AM7" s="60">
        <f t="shared" si="11"/>
        <v>33275.000000000007</v>
      </c>
    </row>
    <row r="8" spans="1:39" ht="12.75">
      <c r="A8" s="453" t="s">
        <v>603</v>
      </c>
      <c r="B8" s="300" t="s">
        <v>78</v>
      </c>
      <c r="C8" s="356">
        <v>15022.673703157998</v>
      </c>
      <c r="D8" s="60">
        <f t="shared" si="12"/>
        <v>16524.941073473798</v>
      </c>
      <c r="E8" s="60">
        <f>SIC!I10</f>
        <v>0</v>
      </c>
      <c r="F8" s="60">
        <f t="shared" si="0"/>
        <v>16524.941073473798</v>
      </c>
      <c r="G8" s="60">
        <f t="shared" si="13"/>
        <v>18177.43518082118</v>
      </c>
      <c r="H8" s="60">
        <f>SIC!$I30</f>
        <v>15465.22</v>
      </c>
      <c r="I8" s="60">
        <f t="shared" si="1"/>
        <v>2712.2151808211802</v>
      </c>
      <c r="J8" s="60">
        <f t="shared" si="14"/>
        <v>19995.178698903299</v>
      </c>
      <c r="K8" s="357">
        <f>SIC!$I49</f>
        <v>7379.1</v>
      </c>
      <c r="L8" s="60">
        <f t="shared" si="2"/>
        <v>12616.078698903299</v>
      </c>
      <c r="M8" s="60">
        <f t="shared" si="15"/>
        <v>21994.696568793632</v>
      </c>
      <c r="N8" s="357">
        <f>SIC!$I68</f>
        <v>6909.1</v>
      </c>
      <c r="O8" s="60">
        <f t="shared" si="3"/>
        <v>15085.596568793631</v>
      </c>
      <c r="P8" s="60">
        <f t="shared" si="16"/>
        <v>24194.166225672998</v>
      </c>
      <c r="Q8" s="357">
        <f>SIC!$I87</f>
        <v>6909.1</v>
      </c>
      <c r="R8" s="60">
        <f t="shared" si="4"/>
        <v>17285.066225672999</v>
      </c>
      <c r="S8" s="60">
        <f t="shared" si="17"/>
        <v>26613.582848240301</v>
      </c>
      <c r="T8" s="357">
        <f>SIC!$I106</f>
        <v>8288.5</v>
      </c>
      <c r="U8" s="60">
        <f t="shared" si="5"/>
        <v>18325.082848240301</v>
      </c>
      <c r="V8" s="60">
        <f t="shared" si="18"/>
        <v>29274.941133064334</v>
      </c>
      <c r="W8" s="357">
        <f>SIC!$I125</f>
        <v>8288.5</v>
      </c>
      <c r="X8" s="60">
        <f t="shared" si="6"/>
        <v>20986.441133064334</v>
      </c>
      <c r="Y8" s="60">
        <f t="shared" si="19"/>
        <v>32202.435246370769</v>
      </c>
      <c r="Z8" s="357">
        <f>SIC!$I144</f>
        <v>8288.5</v>
      </c>
      <c r="AA8" s="60">
        <f t="shared" si="7"/>
        <v>23913.935246370769</v>
      </c>
      <c r="AB8" s="60">
        <f t="shared" ref="AB8:AB15" si="24">Y8*(1+$AB$2)</f>
        <v>35422.67877100785</v>
      </c>
      <c r="AC8" s="357">
        <f>SIC!$I164</f>
        <v>10494.2</v>
      </c>
      <c r="AD8" s="60">
        <f t="shared" si="8"/>
        <v>24928.478771007849</v>
      </c>
      <c r="AE8" s="60">
        <f t="shared" si="21"/>
        <v>38964.946648108635</v>
      </c>
      <c r="AF8" s="357">
        <f>SIC!$I184</f>
        <v>10526.2</v>
      </c>
      <c r="AG8" s="60">
        <f t="shared" si="9"/>
        <v>28438.746648108634</v>
      </c>
      <c r="AH8" s="60">
        <f t="shared" si="22"/>
        <v>42861.441312919502</v>
      </c>
      <c r="AI8" s="357">
        <f>SIC!$I204</f>
        <v>0</v>
      </c>
      <c r="AJ8" s="60">
        <f t="shared" si="10"/>
        <v>42861.441312919502</v>
      </c>
      <c r="AK8" s="60">
        <f t="shared" si="23"/>
        <v>47147.585444211458</v>
      </c>
      <c r="AL8" s="357">
        <f>SIC!$I224</f>
        <v>0</v>
      </c>
      <c r="AM8" s="60">
        <f t="shared" si="11"/>
        <v>47147.585444211458</v>
      </c>
    </row>
    <row r="9" spans="1:39" ht="12.75">
      <c r="A9" s="453" t="s">
        <v>606</v>
      </c>
      <c r="B9" s="454" t="s">
        <v>604</v>
      </c>
      <c r="C9" s="356">
        <v>11555.902848583075</v>
      </c>
      <c r="D9" s="60">
        <f t="shared" si="12"/>
        <v>12711.493133441383</v>
      </c>
      <c r="E9" s="60">
        <f>SIC!I11</f>
        <v>4684</v>
      </c>
      <c r="F9" s="60">
        <f t="shared" si="0"/>
        <v>8027.4931334413832</v>
      </c>
      <c r="G9" s="60">
        <f t="shared" si="13"/>
        <v>13982.642446785523</v>
      </c>
      <c r="H9" s="60">
        <f>SIC!$I31</f>
        <v>15239</v>
      </c>
      <c r="I9" s="60">
        <f t="shared" si="1"/>
        <v>-1256.3575532144769</v>
      </c>
      <c r="J9" s="60">
        <f t="shared" si="14"/>
        <v>15380.906691464077</v>
      </c>
      <c r="K9" s="357">
        <f>SIC!$I50</f>
        <v>4684</v>
      </c>
      <c r="L9" s="60">
        <f t="shared" si="2"/>
        <v>10696.906691464077</v>
      </c>
      <c r="M9" s="60">
        <f t="shared" si="15"/>
        <v>16918.997360610487</v>
      </c>
      <c r="N9" s="357">
        <f>SIC!$I69</f>
        <v>4684</v>
      </c>
      <c r="O9" s="60">
        <f t="shared" si="3"/>
        <v>12234.997360610487</v>
      </c>
      <c r="P9" s="60">
        <f t="shared" si="16"/>
        <v>18610.897096671539</v>
      </c>
      <c r="Q9" s="357">
        <f>SIC!$I88</f>
        <v>4684</v>
      </c>
      <c r="R9" s="60">
        <f t="shared" si="4"/>
        <v>13926.897096671539</v>
      </c>
      <c r="S9" s="60">
        <f t="shared" si="17"/>
        <v>20471.986806338693</v>
      </c>
      <c r="T9" s="357">
        <f>SIC!$I107</f>
        <v>4684</v>
      </c>
      <c r="U9" s="60">
        <f t="shared" si="5"/>
        <v>15787.986806338693</v>
      </c>
      <c r="V9" s="60">
        <f t="shared" si="18"/>
        <v>22519.185486972565</v>
      </c>
      <c r="W9" s="357">
        <f>SIC!$I126</f>
        <v>5017</v>
      </c>
      <c r="X9" s="60">
        <f t="shared" si="6"/>
        <v>17502.185486972565</v>
      </c>
      <c r="Y9" s="60">
        <f t="shared" si="19"/>
        <v>24771.104035669825</v>
      </c>
      <c r="Z9" s="357">
        <f>SIC!$I145</f>
        <v>5222</v>
      </c>
      <c r="AA9" s="60">
        <f t="shared" si="7"/>
        <v>19549.104035669825</v>
      </c>
      <c r="AB9" s="60">
        <f t="shared" si="24"/>
        <v>27248.21443923681</v>
      </c>
      <c r="AC9" s="357">
        <f>SIC!$I165</f>
        <v>6267</v>
      </c>
      <c r="AD9" s="60">
        <f t="shared" si="8"/>
        <v>20981.21443923681</v>
      </c>
      <c r="AE9" s="60">
        <f t="shared" si="21"/>
        <v>29973.035883160494</v>
      </c>
      <c r="AF9" s="357">
        <f>SIC!$I185</f>
        <v>7308</v>
      </c>
      <c r="AG9" s="60">
        <f t="shared" si="9"/>
        <v>22665.035883160494</v>
      </c>
      <c r="AH9" s="60">
        <f t="shared" si="22"/>
        <v>32970.339471476545</v>
      </c>
      <c r="AI9" s="357">
        <f>SIC!$I205</f>
        <v>7828</v>
      </c>
      <c r="AJ9" s="60">
        <f t="shared" si="10"/>
        <v>25142.339471476545</v>
      </c>
      <c r="AK9" s="60">
        <f t="shared" si="23"/>
        <v>36267.3734186242</v>
      </c>
      <c r="AL9" s="357">
        <f>SIC!$I225</f>
        <v>0</v>
      </c>
      <c r="AM9" s="60">
        <f t="shared" si="11"/>
        <v>36267.3734186242</v>
      </c>
    </row>
    <row r="10" spans="1:39" ht="12.75">
      <c r="A10" s="453" t="s">
        <v>606</v>
      </c>
      <c r="B10" s="454" t="s">
        <v>605</v>
      </c>
      <c r="C10" s="356">
        <v>11555.902848583075</v>
      </c>
      <c r="D10" s="60">
        <f t="shared" si="12"/>
        <v>12711.493133441383</v>
      </c>
      <c r="E10" s="60">
        <f>SIC!I12</f>
        <v>1967</v>
      </c>
      <c r="F10" s="60">
        <f t="shared" si="0"/>
        <v>10744.493133441383</v>
      </c>
      <c r="G10" s="60">
        <f t="shared" si="13"/>
        <v>13982.642446785523</v>
      </c>
      <c r="H10" s="60">
        <f>SIC!$I32</f>
        <v>4353</v>
      </c>
      <c r="I10" s="60">
        <f t="shared" si="1"/>
        <v>9629.6424467855231</v>
      </c>
      <c r="J10" s="60">
        <f t="shared" si="14"/>
        <v>15380.906691464077</v>
      </c>
      <c r="K10" s="357">
        <f>SIC!$I51</f>
        <v>0</v>
      </c>
      <c r="L10" s="60">
        <f t="shared" si="2"/>
        <v>15380.906691464077</v>
      </c>
      <c r="M10" s="60">
        <f t="shared" si="15"/>
        <v>16918.997360610487</v>
      </c>
      <c r="N10" s="357">
        <f>SIC!$I70</f>
        <v>0</v>
      </c>
      <c r="O10" s="60">
        <f t="shared" si="3"/>
        <v>16918.997360610487</v>
      </c>
      <c r="P10" s="60">
        <f t="shared" si="16"/>
        <v>18610.897096671539</v>
      </c>
      <c r="Q10" s="357">
        <f>SIC!$I89</f>
        <v>0</v>
      </c>
      <c r="R10" s="60">
        <f t="shared" si="4"/>
        <v>18610.897096671539</v>
      </c>
      <c r="S10" s="60">
        <f t="shared" si="17"/>
        <v>20471.986806338693</v>
      </c>
      <c r="T10" s="357">
        <f>SIC!$I108</f>
        <v>0</v>
      </c>
      <c r="U10" s="60">
        <f t="shared" si="5"/>
        <v>20471.986806338693</v>
      </c>
      <c r="V10" s="60">
        <f t="shared" si="18"/>
        <v>22519.185486972565</v>
      </c>
      <c r="W10" s="357">
        <f>SIC!$I127</f>
        <v>0</v>
      </c>
      <c r="X10" s="60">
        <f t="shared" si="6"/>
        <v>22519.185486972565</v>
      </c>
      <c r="Y10" s="60">
        <f t="shared" si="19"/>
        <v>24771.104035669825</v>
      </c>
      <c r="Z10" s="357">
        <f>SIC!$I146</f>
        <v>0</v>
      </c>
      <c r="AA10" s="60">
        <f t="shared" si="7"/>
        <v>24771.104035669825</v>
      </c>
      <c r="AB10" s="60">
        <f t="shared" si="24"/>
        <v>27248.21443923681</v>
      </c>
      <c r="AC10" s="357">
        <f>SIC!$I166</f>
        <v>0</v>
      </c>
      <c r="AD10" s="60">
        <f t="shared" si="8"/>
        <v>27248.21443923681</v>
      </c>
      <c r="AE10" s="60">
        <f t="shared" si="21"/>
        <v>29973.035883160494</v>
      </c>
      <c r="AF10" s="357">
        <f>SIC!$I186</f>
        <v>0</v>
      </c>
      <c r="AG10" s="60">
        <f t="shared" si="9"/>
        <v>29973.035883160494</v>
      </c>
      <c r="AH10" s="60">
        <f t="shared" si="22"/>
        <v>32970.339471476545</v>
      </c>
      <c r="AI10" s="357">
        <f>SIC!$I206</f>
        <v>0</v>
      </c>
      <c r="AJ10" s="60">
        <f t="shared" si="10"/>
        <v>32970.339471476545</v>
      </c>
      <c r="AK10" s="60">
        <f t="shared" si="23"/>
        <v>36267.3734186242</v>
      </c>
      <c r="AL10" s="357">
        <f>SIC!$I226</f>
        <v>0</v>
      </c>
      <c r="AM10" s="60">
        <f t="shared" si="11"/>
        <v>36267.3734186242</v>
      </c>
    </row>
    <row r="11" spans="1:39" ht="12.75">
      <c r="A11" s="453" t="s">
        <v>603</v>
      </c>
      <c r="B11" s="300" t="s">
        <v>84</v>
      </c>
      <c r="C11" s="356">
        <v>3466.7708545749219</v>
      </c>
      <c r="D11" s="60">
        <f t="shared" si="12"/>
        <v>3813.4479400324144</v>
      </c>
      <c r="E11" s="60">
        <f>SIC!I13</f>
        <v>0</v>
      </c>
      <c r="F11" s="60">
        <f t="shared" si="0"/>
        <v>3813.4479400324144</v>
      </c>
      <c r="G11" s="60">
        <f t="shared" si="13"/>
        <v>4194.7927340356564</v>
      </c>
      <c r="H11" s="60">
        <f>SIC!$I33</f>
        <v>1500</v>
      </c>
      <c r="I11" s="60">
        <f t="shared" si="1"/>
        <v>2694.7927340356564</v>
      </c>
      <c r="J11" s="60">
        <f t="shared" si="14"/>
        <v>4614.2720074392228</v>
      </c>
      <c r="K11" s="357">
        <f>SIC!$I52</f>
        <v>0</v>
      </c>
      <c r="L11" s="60">
        <f t="shared" si="2"/>
        <v>4614.2720074392228</v>
      </c>
      <c r="M11" s="60">
        <f t="shared" si="15"/>
        <v>5075.6992081831459</v>
      </c>
      <c r="N11" s="357">
        <f>SIC!$I71</f>
        <v>1500</v>
      </c>
      <c r="O11" s="60">
        <f t="shared" si="3"/>
        <v>3575.6992081831459</v>
      </c>
      <c r="P11" s="60">
        <f t="shared" si="16"/>
        <v>5583.2691290014609</v>
      </c>
      <c r="Q11" s="357">
        <f>SIC!$I90</f>
        <v>0</v>
      </c>
      <c r="R11" s="60">
        <f t="shared" si="4"/>
        <v>5583.2691290014609</v>
      </c>
      <c r="S11" s="60">
        <f t="shared" si="17"/>
        <v>6141.5960419016074</v>
      </c>
      <c r="T11" s="357">
        <f>SIC!$I109</f>
        <v>0</v>
      </c>
      <c r="U11" s="60">
        <f t="shared" si="5"/>
        <v>6141.5960419016074</v>
      </c>
      <c r="V11" s="60">
        <f t="shared" si="18"/>
        <v>6755.7556460917685</v>
      </c>
      <c r="W11" s="357">
        <f>SIC!$I128</f>
        <v>1500</v>
      </c>
      <c r="X11" s="60">
        <f t="shared" si="6"/>
        <v>5255.7556460917685</v>
      </c>
      <c r="Y11" s="60">
        <f t="shared" si="19"/>
        <v>7431.331210700946</v>
      </c>
      <c r="Z11" s="357">
        <f>SIC!$I147</f>
        <v>1800</v>
      </c>
      <c r="AA11" s="60">
        <f t="shared" si="7"/>
        <v>5631.331210700946</v>
      </c>
      <c r="AB11" s="60">
        <f t="shared" si="24"/>
        <v>8174.4643317710415</v>
      </c>
      <c r="AC11" s="357">
        <f>SIC!$I167</f>
        <v>0</v>
      </c>
      <c r="AD11" s="60">
        <f t="shared" si="8"/>
        <v>8174.4643317710415</v>
      </c>
      <c r="AE11" s="60">
        <f t="shared" si="21"/>
        <v>8991.9107649481466</v>
      </c>
      <c r="AF11" s="357">
        <f>SIC!$I187</f>
        <v>0</v>
      </c>
      <c r="AG11" s="60">
        <f t="shared" si="9"/>
        <v>8991.9107649481466</v>
      </c>
      <c r="AH11" s="60">
        <f t="shared" si="22"/>
        <v>9891.1018414429618</v>
      </c>
      <c r="AI11" s="357">
        <f>SIC!$I207</f>
        <v>1800</v>
      </c>
      <c r="AJ11" s="60">
        <f t="shared" si="10"/>
        <v>8091.1018414429618</v>
      </c>
      <c r="AK11" s="60">
        <f t="shared" si="23"/>
        <v>10880.21202558726</v>
      </c>
      <c r="AL11" s="357">
        <f>SIC!$I227</f>
        <v>0</v>
      </c>
      <c r="AM11" s="60">
        <f t="shared" si="11"/>
        <v>10880.21202558726</v>
      </c>
    </row>
    <row r="12" spans="1:39" ht="12.75">
      <c r="A12" s="453" t="s">
        <v>603</v>
      </c>
      <c r="B12" s="300" t="s">
        <v>86</v>
      </c>
      <c r="C12" s="356">
        <v>1155.5902848583075</v>
      </c>
      <c r="D12" s="60">
        <f t="shared" si="12"/>
        <v>1271.1493133441384</v>
      </c>
      <c r="E12" s="60">
        <f>SIC!I14</f>
        <v>360</v>
      </c>
      <c r="F12" s="60">
        <f t="shared" si="0"/>
        <v>911.14931334413836</v>
      </c>
      <c r="G12" s="60">
        <f t="shared" si="13"/>
        <v>1398.2642446785524</v>
      </c>
      <c r="H12" s="60">
        <f>SIC!$I34</f>
        <v>360</v>
      </c>
      <c r="I12" s="60">
        <f t="shared" si="1"/>
        <v>1038.2642446785524</v>
      </c>
      <c r="J12" s="60">
        <f t="shared" si="14"/>
        <v>1538.0906691464077</v>
      </c>
      <c r="K12" s="357">
        <f>SIC!$I53</f>
        <v>0</v>
      </c>
      <c r="L12" s="60">
        <f t="shared" si="2"/>
        <v>1538.0906691464077</v>
      </c>
      <c r="M12" s="60">
        <f t="shared" si="15"/>
        <v>1691.8997360610485</v>
      </c>
      <c r="N12" s="357">
        <f>SIC!$I72</f>
        <v>0</v>
      </c>
      <c r="O12" s="60">
        <f t="shared" si="3"/>
        <v>1691.8997360610485</v>
      </c>
      <c r="P12" s="60">
        <f t="shared" si="16"/>
        <v>1861.0897096671536</v>
      </c>
      <c r="Q12" s="357">
        <f>SIC!$I91</f>
        <v>0</v>
      </c>
      <c r="R12" s="60">
        <f t="shared" si="4"/>
        <v>1861.0897096671536</v>
      </c>
      <c r="S12" s="60">
        <f t="shared" si="17"/>
        <v>2047.1986806338691</v>
      </c>
      <c r="T12" s="357">
        <f>SIC!$I110</f>
        <v>0</v>
      </c>
      <c r="U12" s="60">
        <f t="shared" si="5"/>
        <v>2047.1986806338691</v>
      </c>
      <c r="V12" s="60">
        <f t="shared" si="18"/>
        <v>2251.918548697256</v>
      </c>
      <c r="W12" s="357">
        <f>SIC!$I129</f>
        <v>0</v>
      </c>
      <c r="X12" s="60">
        <f t="shared" si="6"/>
        <v>2251.918548697256</v>
      </c>
      <c r="Y12" s="60">
        <f t="shared" si="19"/>
        <v>2477.1104035669819</v>
      </c>
      <c r="Z12" s="357">
        <f>SIC!$I148</f>
        <v>0</v>
      </c>
      <c r="AA12" s="60">
        <f t="shared" si="7"/>
        <v>2477.1104035669819</v>
      </c>
      <c r="AB12" s="60">
        <f t="shared" si="24"/>
        <v>2724.8214439236804</v>
      </c>
      <c r="AC12" s="357">
        <f>SIC!$I168</f>
        <v>0</v>
      </c>
      <c r="AD12" s="60">
        <f t="shared" si="8"/>
        <v>2724.8214439236804</v>
      </c>
      <c r="AE12" s="60">
        <f t="shared" si="21"/>
        <v>2997.3035883160487</v>
      </c>
      <c r="AF12" s="357">
        <f>SIC!$I188</f>
        <v>0</v>
      </c>
      <c r="AG12" s="60">
        <f t="shared" si="9"/>
        <v>2997.3035883160487</v>
      </c>
      <c r="AH12" s="60">
        <f t="shared" si="22"/>
        <v>3297.0339471476536</v>
      </c>
      <c r="AI12" s="357">
        <f>SIC!$I208</f>
        <v>0</v>
      </c>
      <c r="AJ12" s="60">
        <f t="shared" si="10"/>
        <v>3297.0339471476536</v>
      </c>
      <c r="AK12" s="60">
        <f t="shared" si="23"/>
        <v>3626.7373418624193</v>
      </c>
      <c r="AL12" s="357">
        <f>SIC!$I228</f>
        <v>0</v>
      </c>
      <c r="AM12" s="60">
        <f t="shared" si="11"/>
        <v>3626.7373418624193</v>
      </c>
    </row>
    <row r="13" spans="1:39" ht="12.75">
      <c r="A13" s="453" t="s">
        <v>610</v>
      </c>
      <c r="B13" s="300" t="s">
        <v>87</v>
      </c>
      <c r="C13" s="356">
        <v>2311.1805697166151</v>
      </c>
      <c r="D13" s="60">
        <f t="shared" si="12"/>
        <v>2542.2986266882767</v>
      </c>
      <c r="E13" s="60">
        <f>SIC!I15</f>
        <v>0</v>
      </c>
      <c r="F13" s="60">
        <f t="shared" si="0"/>
        <v>2542.2986266882767</v>
      </c>
      <c r="G13" s="60">
        <f t="shared" si="13"/>
        <v>2796.5284893571047</v>
      </c>
      <c r="H13" s="60">
        <f>SIC!$I35</f>
        <v>0</v>
      </c>
      <c r="I13" s="60">
        <f t="shared" si="1"/>
        <v>2796.5284893571047</v>
      </c>
      <c r="J13" s="60">
        <f t="shared" si="14"/>
        <v>3076.1813382928153</v>
      </c>
      <c r="K13" s="357">
        <f>SIC!$I54</f>
        <v>0</v>
      </c>
      <c r="L13" s="60">
        <f t="shared" si="2"/>
        <v>3076.1813382928153</v>
      </c>
      <c r="M13" s="60">
        <f t="shared" si="15"/>
        <v>3383.7994721220971</v>
      </c>
      <c r="N13" s="357">
        <f>SIC!$I73</f>
        <v>0</v>
      </c>
      <c r="O13" s="60">
        <f t="shared" si="3"/>
        <v>3383.7994721220971</v>
      </c>
      <c r="P13" s="60">
        <f t="shared" si="16"/>
        <v>3722.1794193343071</v>
      </c>
      <c r="Q13" s="357">
        <f>SIC!$I92</f>
        <v>0</v>
      </c>
      <c r="R13" s="60">
        <f t="shared" si="4"/>
        <v>3722.1794193343071</v>
      </c>
      <c r="S13" s="60">
        <f t="shared" si="17"/>
        <v>4094.3973612677382</v>
      </c>
      <c r="T13" s="357">
        <f>SIC!$I111</f>
        <v>0</v>
      </c>
      <c r="U13" s="60">
        <f t="shared" si="5"/>
        <v>4094.3973612677382</v>
      </c>
      <c r="V13" s="60">
        <f t="shared" si="18"/>
        <v>4503.8370973945121</v>
      </c>
      <c r="W13" s="357">
        <f>SIC!$I130</f>
        <v>0</v>
      </c>
      <c r="X13" s="60">
        <f t="shared" si="6"/>
        <v>4503.8370973945121</v>
      </c>
      <c r="Y13" s="60">
        <f t="shared" si="19"/>
        <v>4954.2208071339637</v>
      </c>
      <c r="Z13" s="357">
        <f>SIC!$I149</f>
        <v>0</v>
      </c>
      <c r="AA13" s="60">
        <f t="shared" si="7"/>
        <v>4954.2208071339637</v>
      </c>
      <c r="AB13" s="60">
        <f t="shared" si="24"/>
        <v>5449.6428878473607</v>
      </c>
      <c r="AC13" s="357">
        <f>SIC!$I169</f>
        <v>0</v>
      </c>
      <c r="AD13" s="60">
        <f t="shared" si="8"/>
        <v>5449.6428878473607</v>
      </c>
      <c r="AE13" s="60">
        <f t="shared" si="21"/>
        <v>5994.6071766320974</v>
      </c>
      <c r="AF13" s="357">
        <f>SIC!$I189</f>
        <v>0</v>
      </c>
      <c r="AG13" s="60">
        <f t="shared" si="9"/>
        <v>5994.6071766320974</v>
      </c>
      <c r="AH13" s="60">
        <f t="shared" si="22"/>
        <v>6594.0678942953073</v>
      </c>
      <c r="AI13" s="357">
        <f>SIC!$I209</f>
        <v>0</v>
      </c>
      <c r="AJ13" s="60">
        <f t="shared" si="10"/>
        <v>6594.0678942953073</v>
      </c>
      <c r="AK13" s="60">
        <f t="shared" si="23"/>
        <v>7253.4746837248385</v>
      </c>
      <c r="AL13" s="357">
        <f>SIC!$I229</f>
        <v>0</v>
      </c>
      <c r="AM13" s="60">
        <f t="shared" si="11"/>
        <v>7253.4746837248385</v>
      </c>
    </row>
    <row r="14" spans="1:39" ht="12.75">
      <c r="A14" s="453" t="s">
        <v>610</v>
      </c>
      <c r="B14" s="300" t="s">
        <v>88</v>
      </c>
      <c r="C14" s="356">
        <v>2311.1805697166151</v>
      </c>
      <c r="D14" s="60">
        <f t="shared" si="12"/>
        <v>2542.2986266882767</v>
      </c>
      <c r="E14" s="60">
        <f>SIC!I16</f>
        <v>0</v>
      </c>
      <c r="F14" s="60">
        <f t="shared" si="0"/>
        <v>2542.2986266882767</v>
      </c>
      <c r="G14" s="60">
        <f t="shared" si="13"/>
        <v>2796.5284893571047</v>
      </c>
      <c r="H14" s="60">
        <f>SIC!$I36</f>
        <v>0</v>
      </c>
      <c r="I14" s="60">
        <f t="shared" si="1"/>
        <v>2796.5284893571047</v>
      </c>
      <c r="J14" s="60">
        <f t="shared" si="14"/>
        <v>3076.1813382928153</v>
      </c>
      <c r="K14" s="357">
        <f>SIC!$I55</f>
        <v>2250</v>
      </c>
      <c r="L14" s="60">
        <f t="shared" si="2"/>
        <v>826.18133829281533</v>
      </c>
      <c r="M14" s="60">
        <f t="shared" si="15"/>
        <v>3383.7994721220971</v>
      </c>
      <c r="N14" s="357">
        <f>SIC!$I74</f>
        <v>0</v>
      </c>
      <c r="O14" s="60">
        <f t="shared" si="3"/>
        <v>3383.7994721220971</v>
      </c>
      <c r="P14" s="60">
        <f t="shared" si="16"/>
        <v>3722.1794193343071</v>
      </c>
      <c r="Q14" s="357">
        <f>SIC!$I93</f>
        <v>0</v>
      </c>
      <c r="R14" s="60">
        <f t="shared" si="4"/>
        <v>3722.1794193343071</v>
      </c>
      <c r="S14" s="60">
        <f t="shared" si="17"/>
        <v>4094.3973612677382</v>
      </c>
      <c r="T14" s="357">
        <f>SIC!$I112</f>
        <v>0</v>
      </c>
      <c r="U14" s="60">
        <f t="shared" si="5"/>
        <v>4094.3973612677382</v>
      </c>
      <c r="V14" s="60">
        <f t="shared" si="18"/>
        <v>4503.8370973945121</v>
      </c>
      <c r="W14" s="357">
        <f>SIC!$I131</f>
        <v>0</v>
      </c>
      <c r="X14" s="60">
        <f t="shared" si="6"/>
        <v>4503.8370973945121</v>
      </c>
      <c r="Y14" s="60">
        <f t="shared" si="19"/>
        <v>4954.2208071339637</v>
      </c>
      <c r="Z14" s="357">
        <f>SIC!$I150</f>
        <v>0</v>
      </c>
      <c r="AA14" s="60">
        <f t="shared" si="7"/>
        <v>4954.2208071339637</v>
      </c>
      <c r="AB14" s="60">
        <f t="shared" si="24"/>
        <v>5449.6428878473607</v>
      </c>
      <c r="AC14" s="357">
        <f>SIC!$I170</f>
        <v>0</v>
      </c>
      <c r="AD14" s="60">
        <f t="shared" si="8"/>
        <v>5449.6428878473607</v>
      </c>
      <c r="AE14" s="60">
        <f t="shared" si="21"/>
        <v>5994.6071766320974</v>
      </c>
      <c r="AF14" s="357">
        <f>SIC!$I190</f>
        <v>0</v>
      </c>
      <c r="AG14" s="60">
        <f t="shared" si="9"/>
        <v>5994.6071766320974</v>
      </c>
      <c r="AH14" s="60">
        <f t="shared" si="22"/>
        <v>6594.0678942953073</v>
      </c>
      <c r="AI14" s="357">
        <f>SIC!$I210</f>
        <v>0</v>
      </c>
      <c r="AJ14" s="60">
        <f t="shared" si="10"/>
        <v>6594.0678942953073</v>
      </c>
      <c r="AK14" s="60">
        <f t="shared" si="23"/>
        <v>7253.4746837248385</v>
      </c>
      <c r="AL14" s="357">
        <f>SIC!$I230</f>
        <v>0</v>
      </c>
      <c r="AM14" s="60">
        <f t="shared" si="11"/>
        <v>7253.4746837248385</v>
      </c>
    </row>
    <row r="15" spans="1:39" ht="12.75">
      <c r="A15" s="453" t="s">
        <v>603</v>
      </c>
      <c r="B15" s="454" t="s">
        <v>607</v>
      </c>
      <c r="C15" s="356">
        <v>5777.9514242915375</v>
      </c>
      <c r="D15" s="60">
        <f t="shared" si="12"/>
        <v>6355.7465667206916</v>
      </c>
      <c r="E15" s="60">
        <f>SIC!I17</f>
        <v>0</v>
      </c>
      <c r="F15" s="60">
        <f t="shared" si="0"/>
        <v>6355.7465667206916</v>
      </c>
      <c r="G15" s="60">
        <f t="shared" si="13"/>
        <v>6991.3212233927616</v>
      </c>
      <c r="H15" s="60">
        <f>SIC!$I37</f>
        <v>0</v>
      </c>
      <c r="I15" s="60">
        <f t="shared" si="1"/>
        <v>6991.3212233927616</v>
      </c>
      <c r="J15" s="60">
        <f t="shared" si="14"/>
        <v>7690.4533457320385</v>
      </c>
      <c r="K15" s="357">
        <f>SIC!$I56</f>
        <v>0</v>
      </c>
      <c r="L15" s="60">
        <f t="shared" si="2"/>
        <v>7690.4533457320385</v>
      </c>
      <c r="M15" s="60">
        <f t="shared" si="15"/>
        <v>8459.4986803052434</v>
      </c>
      <c r="N15" s="357">
        <f>SIC!$I75</f>
        <v>0</v>
      </c>
      <c r="O15" s="60">
        <f t="shared" si="3"/>
        <v>8459.4986803052434</v>
      </c>
      <c r="P15" s="60">
        <f t="shared" si="16"/>
        <v>9305.4485483357694</v>
      </c>
      <c r="Q15" s="357">
        <f>SIC!$I94</f>
        <v>0</v>
      </c>
      <c r="R15" s="60">
        <f t="shared" si="4"/>
        <v>9305.4485483357694</v>
      </c>
      <c r="S15" s="60">
        <f t="shared" si="17"/>
        <v>10235.993403169346</v>
      </c>
      <c r="T15" s="357">
        <f>SIC!$I113</f>
        <v>12500</v>
      </c>
      <c r="U15" s="60">
        <f t="shared" si="5"/>
        <v>-2264.0065968306535</v>
      </c>
      <c r="V15" s="60">
        <f t="shared" si="18"/>
        <v>11259.592743486282</v>
      </c>
      <c r="W15" s="357">
        <f>SIC!$I132</f>
        <v>0</v>
      </c>
      <c r="X15" s="60">
        <f t="shared" si="6"/>
        <v>11259.592743486282</v>
      </c>
      <c r="Y15" s="60">
        <f t="shared" si="19"/>
        <v>12385.552017834912</v>
      </c>
      <c r="Z15" s="357">
        <f>SIC!$I151</f>
        <v>0</v>
      </c>
      <c r="AA15" s="60">
        <f t="shared" si="7"/>
        <v>12385.552017834912</v>
      </c>
      <c r="AB15" s="60">
        <f t="shared" si="24"/>
        <v>13624.107219618405</v>
      </c>
      <c r="AC15" s="357">
        <f>SIC!$I171</f>
        <v>0</v>
      </c>
      <c r="AD15" s="60">
        <f t="shared" si="8"/>
        <v>13624.107219618405</v>
      </c>
      <c r="AE15" s="60">
        <f t="shared" si="21"/>
        <v>14986.517941580247</v>
      </c>
      <c r="AF15" s="357">
        <f>SIC!$I191</f>
        <v>0</v>
      </c>
      <c r="AG15" s="60">
        <f t="shared" si="9"/>
        <v>14986.517941580247</v>
      </c>
      <c r="AH15" s="60">
        <f t="shared" si="22"/>
        <v>16485.169735738273</v>
      </c>
      <c r="AI15" s="357">
        <f>SIC!$I211</f>
        <v>0</v>
      </c>
      <c r="AJ15" s="60">
        <f t="shared" si="10"/>
        <v>16485.169735738273</v>
      </c>
      <c r="AK15" s="60">
        <f t="shared" si="23"/>
        <v>18133.6867093121</v>
      </c>
      <c r="AL15" s="357">
        <f>SIC!$I231</f>
        <v>0</v>
      </c>
      <c r="AM15" s="60">
        <f t="shared" si="11"/>
        <v>18133.6867093121</v>
      </c>
    </row>
    <row r="16" spans="1:39" ht="12.75">
      <c r="A16" s="453" t="s">
        <v>608</v>
      </c>
      <c r="B16" s="300" t="s">
        <v>307</v>
      </c>
      <c r="C16" s="356">
        <v>19700</v>
      </c>
      <c r="D16" s="60">
        <f t="shared" si="12"/>
        <v>21670</v>
      </c>
      <c r="E16" s="60">
        <f>SIC!I18</f>
        <v>0</v>
      </c>
      <c r="F16" s="60">
        <f t="shared" si="0"/>
        <v>21670</v>
      </c>
      <c r="G16" s="356">
        <f>G4*20%</f>
        <v>19700</v>
      </c>
      <c r="H16" s="60">
        <f>SIC!$I38</f>
        <v>0</v>
      </c>
      <c r="I16" s="60">
        <f t="shared" si="1"/>
        <v>19700</v>
      </c>
      <c r="J16" s="356">
        <f>J4*20%</f>
        <v>19700</v>
      </c>
      <c r="K16" s="357">
        <f>SIC!$I57</f>
        <v>0</v>
      </c>
      <c r="L16" s="60">
        <f t="shared" si="2"/>
        <v>19700</v>
      </c>
      <c r="M16" s="356">
        <f>M4*20%</f>
        <v>22000</v>
      </c>
      <c r="N16" s="357">
        <f>SIC!$I76</f>
        <v>0</v>
      </c>
      <c r="O16" s="60">
        <f t="shared" si="3"/>
        <v>22000</v>
      </c>
      <c r="P16" s="356">
        <f>P4*20%</f>
        <v>22000</v>
      </c>
      <c r="Q16" s="357">
        <f>SIC!$I95</f>
        <v>0</v>
      </c>
      <c r="R16" s="60">
        <f t="shared" si="4"/>
        <v>22000</v>
      </c>
      <c r="S16" s="356">
        <f>S4*20%</f>
        <v>22000</v>
      </c>
      <c r="T16" s="357">
        <f>SIC!$I114</f>
        <v>0</v>
      </c>
      <c r="U16" s="60">
        <f t="shared" si="5"/>
        <v>22000</v>
      </c>
      <c r="V16" s="356">
        <f>V4*20%</f>
        <v>22000</v>
      </c>
      <c r="W16" s="357">
        <f>SIC!$I133</f>
        <v>0</v>
      </c>
      <c r="X16" s="60">
        <f t="shared" si="6"/>
        <v>22000</v>
      </c>
      <c r="Y16" s="356">
        <f>Y4*20%</f>
        <v>22000</v>
      </c>
      <c r="Z16" s="357">
        <f>SIC!$I152</f>
        <v>0</v>
      </c>
      <c r="AA16" s="60">
        <f t="shared" si="7"/>
        <v>22000</v>
      </c>
      <c r="AB16" s="356">
        <f>AB4*20%</f>
        <v>22000</v>
      </c>
      <c r="AC16" s="357">
        <f>SIC!$I172</f>
        <v>0</v>
      </c>
      <c r="AD16" s="60">
        <f t="shared" si="8"/>
        <v>22000</v>
      </c>
      <c r="AE16" s="356">
        <f>AE4*20%</f>
        <v>25000</v>
      </c>
      <c r="AF16" s="357">
        <f>SIC!$I192</f>
        <v>0</v>
      </c>
      <c r="AG16" s="60">
        <f t="shared" si="9"/>
        <v>25000</v>
      </c>
      <c r="AH16" s="356">
        <f>AH4*20%</f>
        <v>25000</v>
      </c>
      <c r="AI16" s="357">
        <f>SIC!$I212</f>
        <v>0</v>
      </c>
      <c r="AJ16" s="60">
        <f t="shared" si="10"/>
        <v>25000</v>
      </c>
      <c r="AK16" s="356">
        <f>AK4*20%</f>
        <v>25000</v>
      </c>
      <c r="AL16" s="357">
        <f>SIC!$I232</f>
        <v>0</v>
      </c>
      <c r="AM16" s="60">
        <f t="shared" si="11"/>
        <v>25000</v>
      </c>
    </row>
    <row r="17" spans="1:39" ht="12.75">
      <c r="A17" s="453" t="s">
        <v>611</v>
      </c>
      <c r="B17" s="300" t="s">
        <v>450</v>
      </c>
      <c r="C17" s="356">
        <v>2542.2986266882763</v>
      </c>
      <c r="D17" s="60">
        <f t="shared" si="12"/>
        <v>2796.5284893571043</v>
      </c>
      <c r="E17" s="60">
        <f>SIC!I19</f>
        <v>20.29</v>
      </c>
      <c r="F17" s="60">
        <f t="shared" si="0"/>
        <v>2776.2384893571043</v>
      </c>
      <c r="G17" s="60">
        <f t="shared" ref="G17:G22" si="25">D17*(1+$G$2)</f>
        <v>3076.1813382928149</v>
      </c>
      <c r="H17" s="60">
        <f>SIC!$I39</f>
        <v>162.78</v>
      </c>
      <c r="I17" s="60">
        <f t="shared" si="1"/>
        <v>2913.4013382928147</v>
      </c>
      <c r="J17" s="60">
        <f t="shared" ref="J17:J22" si="26">G17*(1+$J$2)</f>
        <v>3383.7994721220966</v>
      </c>
      <c r="K17" s="357">
        <f>SIC!$I58</f>
        <v>381.8</v>
      </c>
      <c r="L17" s="60">
        <f t="shared" si="2"/>
        <v>3001.9994721220964</v>
      </c>
      <c r="M17" s="60">
        <f t="shared" ref="M17:M22" si="27">J17*(1+$M$2)</f>
        <v>3722.1794193343067</v>
      </c>
      <c r="N17" s="357">
        <f>SIC!$I77</f>
        <v>818.87</v>
      </c>
      <c r="O17" s="60">
        <f t="shared" si="3"/>
        <v>2903.3094193343068</v>
      </c>
      <c r="P17" s="60">
        <f t="shared" ref="P17:P22" si="28">M17*(1+$P$2)</f>
        <v>4094.3973612677378</v>
      </c>
      <c r="Q17" s="357">
        <f>SIC!$I96</f>
        <v>864.52</v>
      </c>
      <c r="R17" s="60">
        <f t="shared" si="4"/>
        <v>3229.8773612677378</v>
      </c>
      <c r="S17" s="60">
        <f t="shared" ref="S17:S22" si="29">P17*(1+$S$2)</f>
        <v>4503.8370973945121</v>
      </c>
      <c r="T17" s="357">
        <f>SIC!$I115</f>
        <v>1027.07</v>
      </c>
      <c r="U17" s="60">
        <f t="shared" si="5"/>
        <v>3476.7670973945123</v>
      </c>
      <c r="V17" s="60">
        <f t="shared" ref="V17:V22" si="30">S17*(1+$V$2)</f>
        <v>4954.2208071339637</v>
      </c>
      <c r="W17" s="357">
        <f>SIC!$I134</f>
        <v>782.13</v>
      </c>
      <c r="X17" s="60">
        <f t="shared" si="6"/>
        <v>4172.0908071339636</v>
      </c>
      <c r="Y17" s="60">
        <f t="shared" ref="Y17:Y22" si="31">V17*(1+$Y$2)</f>
        <v>5449.6428878473607</v>
      </c>
      <c r="Z17" s="357">
        <f>SIC!$I153</f>
        <v>821.77</v>
      </c>
      <c r="AA17" s="60">
        <f t="shared" si="7"/>
        <v>4627.8728878473612</v>
      </c>
      <c r="AB17" s="60">
        <f t="shared" ref="AB17:AB21" si="32">Y17*(1+$AB$2)</f>
        <v>5994.6071766320974</v>
      </c>
      <c r="AC17" s="357">
        <f>SIC!$I173</f>
        <v>1131.1199999999999</v>
      </c>
      <c r="AD17" s="60">
        <f t="shared" si="8"/>
        <v>4863.4871766320975</v>
      </c>
      <c r="AE17" s="60">
        <f t="shared" ref="AE17:AE22" si="33">AB17*(1+$AE$2)</f>
        <v>6594.0678942953073</v>
      </c>
      <c r="AF17" s="357">
        <f>SIC!$I193</f>
        <v>1890.74</v>
      </c>
      <c r="AG17" s="60">
        <f t="shared" si="9"/>
        <v>4703.3278942953075</v>
      </c>
      <c r="AH17" s="60">
        <f t="shared" ref="AH17:AH22" si="34">AE17*(1+$AH$2)</f>
        <v>7253.4746837248385</v>
      </c>
      <c r="AI17" s="357">
        <f>SIC!$I213</f>
        <v>1630.68</v>
      </c>
      <c r="AJ17" s="60">
        <f t="shared" si="10"/>
        <v>5622.7946837248383</v>
      </c>
      <c r="AK17" s="60">
        <f t="shared" ref="AK17:AK22" si="35">AH17*(1+$AK$2)</f>
        <v>7978.8221520973229</v>
      </c>
      <c r="AL17" s="357">
        <f>SIC!$I233</f>
        <v>0</v>
      </c>
      <c r="AM17" s="60">
        <f t="shared" si="11"/>
        <v>7978.8221520973229</v>
      </c>
    </row>
    <row r="18" spans="1:39" ht="12.75">
      <c r="A18" s="453" t="s">
        <v>612</v>
      </c>
      <c r="B18" s="300" t="s">
        <v>451</v>
      </c>
      <c r="C18" s="356">
        <v>2542.2986266882763</v>
      </c>
      <c r="D18" s="60">
        <f t="shared" si="12"/>
        <v>2796.5284893571043</v>
      </c>
      <c r="E18" s="60">
        <f>SIC!I20</f>
        <v>0</v>
      </c>
      <c r="F18" s="60">
        <f t="shared" si="0"/>
        <v>2796.5284893571043</v>
      </c>
      <c r="G18" s="60">
        <f t="shared" si="25"/>
        <v>3076.1813382928149</v>
      </c>
      <c r="H18" s="60">
        <f>SIC!$I40</f>
        <v>41.58</v>
      </c>
      <c r="I18" s="60">
        <f t="shared" si="1"/>
        <v>3034.6013382928149</v>
      </c>
      <c r="J18" s="60">
        <f t="shared" si="26"/>
        <v>3383.7994721220966</v>
      </c>
      <c r="K18" s="357">
        <f>SIC!$I59</f>
        <v>1359.1000000000001</v>
      </c>
      <c r="L18" s="60">
        <f t="shared" si="2"/>
        <v>2024.6994721220965</v>
      </c>
      <c r="M18" s="60">
        <f t="shared" si="27"/>
        <v>3722.1794193343067</v>
      </c>
      <c r="N18" s="357">
        <f>SIC!$I78</f>
        <v>350.92</v>
      </c>
      <c r="O18" s="60">
        <f t="shared" si="3"/>
        <v>3371.2594193343066</v>
      </c>
      <c r="P18" s="60">
        <f t="shared" si="28"/>
        <v>4094.3973612677378</v>
      </c>
      <c r="Q18" s="357">
        <f>SIC!$I97</f>
        <v>498.10000000000008</v>
      </c>
      <c r="R18" s="60">
        <f t="shared" si="4"/>
        <v>3596.2973612677379</v>
      </c>
      <c r="S18" s="60">
        <f t="shared" si="29"/>
        <v>4503.8370973945121</v>
      </c>
      <c r="T18" s="357">
        <f>SIC!$I116</f>
        <v>493.65000000000003</v>
      </c>
      <c r="U18" s="60">
        <f t="shared" si="5"/>
        <v>4010.187097394512</v>
      </c>
      <c r="V18" s="60">
        <f t="shared" si="30"/>
        <v>4954.2208071339637</v>
      </c>
      <c r="W18" s="357">
        <f>SIC!$I135</f>
        <v>489.73</v>
      </c>
      <c r="X18" s="60">
        <f t="shared" si="6"/>
        <v>4464.4908071339632</v>
      </c>
      <c r="Y18" s="60">
        <f t="shared" si="31"/>
        <v>5449.6428878473607</v>
      </c>
      <c r="Z18" s="357">
        <f>SIC!$I154</f>
        <v>629.86</v>
      </c>
      <c r="AA18" s="60">
        <f t="shared" si="7"/>
        <v>4819.7828878473611</v>
      </c>
      <c r="AB18" s="60">
        <f t="shared" si="32"/>
        <v>5994.6071766320974</v>
      </c>
      <c r="AC18" s="357">
        <f>SIC!$I174</f>
        <v>3075.51</v>
      </c>
      <c r="AD18" s="60">
        <f t="shared" si="8"/>
        <v>2919.0971766320972</v>
      </c>
      <c r="AE18" s="60">
        <f t="shared" si="33"/>
        <v>6594.0678942953073</v>
      </c>
      <c r="AF18" s="357">
        <f>SIC!$I194</f>
        <v>2924.46</v>
      </c>
      <c r="AG18" s="60">
        <f t="shared" si="9"/>
        <v>3669.6078942953072</v>
      </c>
      <c r="AH18" s="60">
        <f t="shared" si="34"/>
        <v>7253.4746837248385</v>
      </c>
      <c r="AI18" s="357">
        <f>SIC!$I214</f>
        <v>2861.56</v>
      </c>
      <c r="AJ18" s="60">
        <f t="shared" si="10"/>
        <v>4391.9146837248391</v>
      </c>
      <c r="AK18" s="60">
        <f t="shared" si="35"/>
        <v>7978.8221520973229</v>
      </c>
      <c r="AL18" s="357">
        <f>SIC!$I234</f>
        <v>0</v>
      </c>
      <c r="AM18" s="60">
        <f t="shared" si="11"/>
        <v>7978.8221520973229</v>
      </c>
    </row>
    <row r="19" spans="1:39" ht="12.75">
      <c r="A19" s="453" t="s">
        <v>612</v>
      </c>
      <c r="B19" s="300" t="s">
        <v>452</v>
      </c>
      <c r="C19" s="356">
        <v>2542.2986266882763</v>
      </c>
      <c r="D19" s="60">
        <f t="shared" si="12"/>
        <v>2796.5284893571043</v>
      </c>
      <c r="E19" s="60">
        <f>SIC!I21</f>
        <v>0</v>
      </c>
      <c r="F19" s="60">
        <f t="shared" si="0"/>
        <v>2796.5284893571043</v>
      </c>
      <c r="G19" s="60">
        <f t="shared" si="25"/>
        <v>3076.1813382928149</v>
      </c>
      <c r="H19" s="60">
        <f>SIC!$I41</f>
        <v>0</v>
      </c>
      <c r="I19" s="60">
        <f t="shared" si="1"/>
        <v>3076.1813382928149</v>
      </c>
      <c r="J19" s="60">
        <f t="shared" si="26"/>
        <v>3383.7994721220966</v>
      </c>
      <c r="K19" s="357">
        <f>SIC!$I60</f>
        <v>400.97000000000025</v>
      </c>
      <c r="L19" s="60">
        <f t="shared" si="2"/>
        <v>2982.8294721220964</v>
      </c>
      <c r="M19" s="60">
        <f t="shared" si="27"/>
        <v>3722.1794193343067</v>
      </c>
      <c r="N19" s="357">
        <f>SIC!$I79</f>
        <v>180.61000000000013</v>
      </c>
      <c r="O19" s="60">
        <f t="shared" si="3"/>
        <v>3541.5694193343065</v>
      </c>
      <c r="P19" s="60">
        <f t="shared" si="28"/>
        <v>4094.3973612677378</v>
      </c>
      <c r="Q19" s="357">
        <f>SIC!$I98</f>
        <v>451.89000000000033</v>
      </c>
      <c r="R19" s="60">
        <f t="shared" si="4"/>
        <v>3642.5073612677375</v>
      </c>
      <c r="S19" s="60">
        <f t="shared" si="29"/>
        <v>4503.8370973945121</v>
      </c>
      <c r="T19" s="357">
        <f>SIC!$I117</f>
        <v>932.85000000000218</v>
      </c>
      <c r="U19" s="60">
        <f t="shared" si="5"/>
        <v>3570.9870973945099</v>
      </c>
      <c r="V19" s="60">
        <f t="shared" si="30"/>
        <v>4954.2208071339637</v>
      </c>
      <c r="W19" s="357">
        <f>SIC!$I136</f>
        <v>422.42999999999984</v>
      </c>
      <c r="X19" s="60">
        <f t="shared" si="6"/>
        <v>4531.7908071339643</v>
      </c>
      <c r="Y19" s="60">
        <f t="shared" si="31"/>
        <v>5449.6428878473607</v>
      </c>
      <c r="Z19" s="357">
        <f>SIC!$I155</f>
        <v>365.87</v>
      </c>
      <c r="AA19" s="60">
        <f t="shared" si="7"/>
        <v>5083.7728878473608</v>
      </c>
      <c r="AB19" s="60">
        <f t="shared" si="32"/>
        <v>5994.6071766320974</v>
      </c>
      <c r="AC19" s="357">
        <f>SIC!$I175</f>
        <v>376.15000000000003</v>
      </c>
      <c r="AD19" s="60">
        <f t="shared" si="8"/>
        <v>5618.4571766320978</v>
      </c>
      <c r="AE19" s="60">
        <f t="shared" si="33"/>
        <v>6594.0678942953073</v>
      </c>
      <c r="AF19" s="357">
        <f>SIC!$I195</f>
        <v>0</v>
      </c>
      <c r="AG19" s="60">
        <f t="shared" si="9"/>
        <v>6594.0678942953073</v>
      </c>
      <c r="AH19" s="60">
        <f t="shared" si="34"/>
        <v>7253.4746837248385</v>
      </c>
      <c r="AI19" s="357">
        <f>SIC!$I215</f>
        <v>0</v>
      </c>
      <c r="AJ19" s="60">
        <f t="shared" si="10"/>
        <v>7253.4746837248385</v>
      </c>
      <c r="AK19" s="60">
        <f t="shared" si="35"/>
        <v>7978.8221520973229</v>
      </c>
      <c r="AL19" s="357">
        <f>SIC!$I235</f>
        <v>0</v>
      </c>
      <c r="AM19" s="60">
        <f t="shared" si="11"/>
        <v>7978.8221520973229</v>
      </c>
    </row>
    <row r="20" spans="1:39" ht="12.75">
      <c r="A20" s="453" t="s">
        <v>34</v>
      </c>
      <c r="B20" s="300" t="s">
        <v>96</v>
      </c>
      <c r="C20" s="356">
        <v>5777.9514242915375</v>
      </c>
      <c r="D20" s="60">
        <f t="shared" si="12"/>
        <v>6355.7465667206916</v>
      </c>
      <c r="E20" s="60">
        <f>SIC!I22</f>
        <v>0</v>
      </c>
      <c r="F20" s="60">
        <f t="shared" si="0"/>
        <v>6355.7465667206916</v>
      </c>
      <c r="G20" s="60">
        <f t="shared" si="25"/>
        <v>6991.3212233927616</v>
      </c>
      <c r="H20" s="60">
        <f>SIC!$I42</f>
        <v>209.74</v>
      </c>
      <c r="I20" s="60">
        <f t="shared" si="1"/>
        <v>6781.5812233927618</v>
      </c>
      <c r="J20" s="60">
        <f t="shared" si="26"/>
        <v>7690.4533457320385</v>
      </c>
      <c r="K20" s="357">
        <f>SIC!$I61</f>
        <v>0</v>
      </c>
      <c r="L20" s="60">
        <f t="shared" si="2"/>
        <v>7690.4533457320385</v>
      </c>
      <c r="M20" s="60">
        <f t="shared" si="27"/>
        <v>8459.4986803052434</v>
      </c>
      <c r="N20" s="357">
        <f>SIC!$I80</f>
        <v>0</v>
      </c>
      <c r="O20" s="60">
        <f t="shared" si="3"/>
        <v>8459.4986803052434</v>
      </c>
      <c r="P20" s="60">
        <f t="shared" si="28"/>
        <v>9305.4485483357694</v>
      </c>
      <c r="Q20" s="357">
        <f>SIC!$I99</f>
        <v>0</v>
      </c>
      <c r="R20" s="60">
        <f t="shared" si="4"/>
        <v>9305.4485483357694</v>
      </c>
      <c r="S20" s="60">
        <f t="shared" si="29"/>
        <v>10235.993403169346</v>
      </c>
      <c r="T20" s="357">
        <f>SIC!$I118</f>
        <v>0</v>
      </c>
      <c r="U20" s="60">
        <f t="shared" si="5"/>
        <v>10235.993403169346</v>
      </c>
      <c r="V20" s="60">
        <f t="shared" si="30"/>
        <v>11259.592743486282</v>
      </c>
      <c r="W20" s="357">
        <f>SIC!$I137</f>
        <v>0</v>
      </c>
      <c r="X20" s="60">
        <f t="shared" si="6"/>
        <v>11259.592743486282</v>
      </c>
      <c r="Y20" s="60">
        <f t="shared" si="31"/>
        <v>12385.552017834912</v>
      </c>
      <c r="Z20" s="357">
        <f>SIC!$I156</f>
        <v>0</v>
      </c>
      <c r="AA20" s="60">
        <f t="shared" si="7"/>
        <v>12385.552017834912</v>
      </c>
      <c r="AB20" s="60">
        <f t="shared" si="32"/>
        <v>13624.107219618405</v>
      </c>
      <c r="AC20" s="357">
        <f>SIC!$I176</f>
        <v>0</v>
      </c>
      <c r="AD20" s="60">
        <f t="shared" si="8"/>
        <v>13624.107219618405</v>
      </c>
      <c r="AE20" s="60">
        <f t="shared" si="33"/>
        <v>14986.517941580247</v>
      </c>
      <c r="AF20" s="357">
        <f>SIC!$I196</f>
        <v>0</v>
      </c>
      <c r="AG20" s="60">
        <f t="shared" si="9"/>
        <v>14986.517941580247</v>
      </c>
      <c r="AH20" s="60">
        <f t="shared" si="34"/>
        <v>16485.169735738273</v>
      </c>
      <c r="AI20" s="357">
        <f>SIC!$I216</f>
        <v>0</v>
      </c>
      <c r="AJ20" s="60">
        <f t="shared" si="10"/>
        <v>16485.169735738273</v>
      </c>
      <c r="AK20" s="60">
        <f t="shared" si="35"/>
        <v>18133.6867093121</v>
      </c>
      <c r="AL20" s="357">
        <f>SIC!$I236</f>
        <v>0</v>
      </c>
      <c r="AM20" s="60">
        <f t="shared" si="11"/>
        <v>18133.6867093121</v>
      </c>
    </row>
    <row r="21" spans="1:39" ht="12.75">
      <c r="A21" s="453" t="s">
        <v>612</v>
      </c>
      <c r="B21" s="300" t="s">
        <v>99</v>
      </c>
      <c r="C21" s="356">
        <v>5777.9514242915375</v>
      </c>
      <c r="D21" s="60">
        <f t="shared" si="12"/>
        <v>6355.7465667206916</v>
      </c>
      <c r="E21" s="60">
        <f>SIC!I23</f>
        <v>0</v>
      </c>
      <c r="F21" s="60">
        <f t="shared" si="0"/>
        <v>6355.7465667206916</v>
      </c>
      <c r="G21" s="60">
        <f t="shared" si="25"/>
        <v>6991.3212233927616</v>
      </c>
      <c r="H21" s="60">
        <f>SIC!$I43</f>
        <v>0</v>
      </c>
      <c r="I21" s="60">
        <f t="shared" si="1"/>
        <v>6991.3212233927616</v>
      </c>
      <c r="J21" s="60">
        <f t="shared" si="26"/>
        <v>7690.4533457320385</v>
      </c>
      <c r="K21" s="357">
        <f>SIC!$I62</f>
        <v>0</v>
      </c>
      <c r="L21" s="60">
        <f t="shared" si="2"/>
        <v>7690.4533457320385</v>
      </c>
      <c r="M21" s="60">
        <f t="shared" si="27"/>
        <v>8459.4986803052434</v>
      </c>
      <c r="N21" s="357">
        <f>SIC!$I81</f>
        <v>7782.94</v>
      </c>
      <c r="O21" s="60">
        <f t="shared" si="3"/>
        <v>676.5586803052438</v>
      </c>
      <c r="P21" s="60">
        <f t="shared" si="28"/>
        <v>9305.4485483357694</v>
      </c>
      <c r="Q21" s="357">
        <f>SIC!$I100</f>
        <v>0</v>
      </c>
      <c r="R21" s="60">
        <f t="shared" si="4"/>
        <v>9305.4485483357694</v>
      </c>
      <c r="S21" s="60">
        <f t="shared" si="29"/>
        <v>10235.993403169346</v>
      </c>
      <c r="T21" s="357">
        <f>SIC!$I119</f>
        <v>0</v>
      </c>
      <c r="U21" s="60">
        <f t="shared" si="5"/>
        <v>10235.993403169346</v>
      </c>
      <c r="V21" s="60">
        <f t="shared" si="30"/>
        <v>11259.592743486282</v>
      </c>
      <c r="W21" s="357">
        <f>SIC!$I138</f>
        <v>4469.5</v>
      </c>
      <c r="X21" s="60">
        <f t="shared" si="6"/>
        <v>6790.0927434862824</v>
      </c>
      <c r="Y21" s="60">
        <f t="shared" si="31"/>
        <v>12385.552017834912</v>
      </c>
      <c r="Z21" s="357">
        <f>SIC!$I157</f>
        <v>5460.9400000000005</v>
      </c>
      <c r="AA21" s="60">
        <f t="shared" si="7"/>
        <v>6924.612017834912</v>
      </c>
      <c r="AB21" s="60">
        <f t="shared" si="32"/>
        <v>13624.107219618405</v>
      </c>
      <c r="AC21" s="357">
        <f>SIC!$I177</f>
        <v>5043.79</v>
      </c>
      <c r="AD21" s="60">
        <f t="shared" si="8"/>
        <v>8580.3172196184059</v>
      </c>
      <c r="AE21" s="60">
        <f t="shared" si="33"/>
        <v>14986.517941580247</v>
      </c>
      <c r="AF21" s="357">
        <f>SIC!$I197</f>
        <v>8134.61</v>
      </c>
      <c r="AG21" s="60">
        <f t="shared" si="9"/>
        <v>6851.9079415802471</v>
      </c>
      <c r="AH21" s="60">
        <f t="shared" si="34"/>
        <v>16485.169735738273</v>
      </c>
      <c r="AI21" s="357">
        <f>SIC!$I217</f>
        <v>2050.7799999999997</v>
      </c>
      <c r="AJ21" s="60">
        <f t="shared" si="10"/>
        <v>14434.389735738274</v>
      </c>
      <c r="AK21" s="60">
        <f t="shared" si="35"/>
        <v>18133.6867093121</v>
      </c>
      <c r="AL21" s="357">
        <f>SIC!$I237</f>
        <v>0</v>
      </c>
      <c r="AM21" s="60">
        <f t="shared" si="11"/>
        <v>18133.6867093121</v>
      </c>
    </row>
    <row r="22" spans="1:39" ht="12.75">
      <c r="A22" s="453" t="s">
        <v>100</v>
      </c>
      <c r="B22" s="300" t="s">
        <v>100</v>
      </c>
      <c r="C22" s="356">
        <v>7774.4514242915375</v>
      </c>
      <c r="D22" s="60">
        <f t="shared" si="12"/>
        <v>8551.8965667206921</v>
      </c>
      <c r="E22" s="60">
        <f>'FLUJO DE CAJA'!$K3</f>
        <v>23614.240000000002</v>
      </c>
      <c r="F22" s="60">
        <f t="shared" si="0"/>
        <v>-15062.343433279309</v>
      </c>
      <c r="G22" s="60">
        <f t="shared" si="25"/>
        <v>9407.0862233927619</v>
      </c>
      <c r="H22" s="60">
        <f>SIC!$I44</f>
        <v>0</v>
      </c>
      <c r="I22" s="60">
        <f t="shared" si="1"/>
        <v>9407.0862233927619</v>
      </c>
      <c r="J22" s="60">
        <f t="shared" si="26"/>
        <v>10347.794845732038</v>
      </c>
      <c r="K22" s="60">
        <f>'FLUJO DE CAJA'!$K5</f>
        <v>7963.84</v>
      </c>
      <c r="L22" s="60">
        <f t="shared" si="2"/>
        <v>2383.9548457320379</v>
      </c>
      <c r="M22" s="60">
        <f t="shared" si="27"/>
        <v>11382.574330305242</v>
      </c>
      <c r="N22" s="60">
        <f>'FLUJO DE CAJA'!$K6</f>
        <v>14999.78</v>
      </c>
      <c r="O22" s="60">
        <f t="shared" si="3"/>
        <v>-3617.2056696947584</v>
      </c>
      <c r="P22" s="60">
        <f t="shared" si="28"/>
        <v>12520.831763335767</v>
      </c>
      <c r="Q22" s="60">
        <f>'FLUJO DE CAJA'!$K7</f>
        <v>18786.129999999997</v>
      </c>
      <c r="R22" s="60">
        <f t="shared" si="4"/>
        <v>-6265.29823666423</v>
      </c>
      <c r="S22" s="60">
        <f t="shared" si="29"/>
        <v>13772.914939669345</v>
      </c>
      <c r="T22" s="60">
        <f>'FLUJO DE CAJA'!$K8</f>
        <v>5246.74</v>
      </c>
      <c r="U22" s="60">
        <f t="shared" si="5"/>
        <v>8526.1749396693449</v>
      </c>
      <c r="V22" s="60">
        <f t="shared" si="30"/>
        <v>15150.20643363628</v>
      </c>
      <c r="W22" s="60">
        <f>'FLUJO DE CAJA'!$K9</f>
        <v>13972.84</v>
      </c>
      <c r="X22" s="60">
        <f t="shared" si="6"/>
        <v>1177.3664336362799</v>
      </c>
      <c r="Y22" s="60">
        <f t="shared" si="31"/>
        <v>16665.227076999909</v>
      </c>
      <c r="Z22" s="60">
        <f>'FLUJO DE CAJA'!$K10</f>
        <v>5557.9500000000007</v>
      </c>
      <c r="AA22" s="60">
        <f t="shared" si="7"/>
        <v>11107.277076999908</v>
      </c>
      <c r="AB22" s="60">
        <f>Y22*(1+$AB$2)+1500</f>
        <v>19831.749784699899</v>
      </c>
      <c r="AC22" s="60">
        <f>'FLUJO DE CAJA'!$K11</f>
        <v>35595.949999999997</v>
      </c>
      <c r="AD22" s="60">
        <f t="shared" si="8"/>
        <v>-15764.200215300098</v>
      </c>
      <c r="AE22" s="60">
        <f t="shared" si="33"/>
        <v>21814.924763169893</v>
      </c>
      <c r="AF22" s="60">
        <f>'FLUJO DE CAJA'!$K12</f>
        <v>19633.627</v>
      </c>
      <c r="AG22" s="60">
        <f t="shared" si="9"/>
        <v>2181.2977631698923</v>
      </c>
      <c r="AH22" s="60">
        <f t="shared" si="34"/>
        <v>23996.417239486884</v>
      </c>
      <c r="AI22" s="60">
        <f>'FLUJO DE CAJA'!$K13</f>
        <v>6060</v>
      </c>
      <c r="AJ22" s="60">
        <f t="shared" si="10"/>
        <v>17936.417239486884</v>
      </c>
      <c r="AK22" s="60">
        <f t="shared" si="35"/>
        <v>26396.058963435575</v>
      </c>
      <c r="AL22" s="357">
        <f>SIC!$I238</f>
        <v>0</v>
      </c>
      <c r="AM22" s="60">
        <f t="shared" si="11"/>
        <v>26396.058963435575</v>
      </c>
    </row>
    <row r="23" spans="1:39" ht="12.75">
      <c r="A23" s="453" t="s">
        <v>101</v>
      </c>
      <c r="B23" s="300" t="s">
        <v>101</v>
      </c>
      <c r="C23" s="356">
        <v>355824.63</v>
      </c>
      <c r="D23" s="60">
        <f>J40</f>
        <v>406000</v>
      </c>
      <c r="E23" s="60">
        <f>'FLUJO DE CAJA'!$M3</f>
        <v>28020</v>
      </c>
      <c r="F23" s="60">
        <f t="shared" si="0"/>
        <v>377980</v>
      </c>
      <c r="G23" s="60">
        <f>K40</f>
        <v>609000</v>
      </c>
      <c r="H23" s="60">
        <f>SIC!$I45</f>
        <v>63870</v>
      </c>
      <c r="I23" s="60">
        <f t="shared" si="1"/>
        <v>545130</v>
      </c>
      <c r="J23" s="60">
        <f>L40</f>
        <v>406000</v>
      </c>
      <c r="K23" s="60">
        <f>'FLUJO DE CAJA'!$M5</f>
        <v>140010</v>
      </c>
      <c r="L23" s="60">
        <f t="shared" si="2"/>
        <v>265990</v>
      </c>
      <c r="M23" s="60">
        <f>M40</f>
        <v>406000</v>
      </c>
      <c r="N23" s="60">
        <f>'FLUJO DE CAJA'!$M6</f>
        <v>136010</v>
      </c>
      <c r="O23" s="60">
        <f t="shared" si="3"/>
        <v>269990</v>
      </c>
      <c r="P23" s="60">
        <f>N40</f>
        <v>406000</v>
      </c>
      <c r="Q23" s="60">
        <f>'FLUJO DE CAJA'!$M7</f>
        <v>144340</v>
      </c>
      <c r="R23" s="60">
        <f t="shared" si="4"/>
        <v>261660</v>
      </c>
      <c r="S23" s="60">
        <f>O40</f>
        <v>406000</v>
      </c>
      <c r="T23" s="60">
        <f>'FLUJO DE CAJA'!$M8</f>
        <v>140010</v>
      </c>
      <c r="U23" s="60">
        <f t="shared" si="5"/>
        <v>265990</v>
      </c>
      <c r="V23" s="60">
        <f>P40</f>
        <v>406000</v>
      </c>
      <c r="W23" s="60">
        <f>'FLUJO DE CAJA'!$M9</f>
        <v>118320</v>
      </c>
      <c r="X23" s="60">
        <f t="shared" si="6"/>
        <v>287680</v>
      </c>
      <c r="Y23" s="60">
        <f>Q40</f>
        <v>609000</v>
      </c>
      <c r="Z23" s="60">
        <f>'FLUJO DE CAJA'!$M10</f>
        <v>200020</v>
      </c>
      <c r="AA23" s="60">
        <f t="shared" si="7"/>
        <v>408980</v>
      </c>
      <c r="AB23" s="60">
        <f>R40</f>
        <v>406000</v>
      </c>
      <c r="AC23" s="60">
        <f>'FLUJO DE CAJA'!$M11</f>
        <v>120000</v>
      </c>
      <c r="AD23" s="60">
        <f t="shared" si="8"/>
        <v>286000</v>
      </c>
      <c r="AE23" s="60">
        <f>R40</f>
        <v>406000</v>
      </c>
      <c r="AF23" s="60">
        <f>'FLUJO DE CAJA'!$M12</f>
        <v>180000</v>
      </c>
      <c r="AG23" s="60">
        <f t="shared" si="9"/>
        <v>226000</v>
      </c>
      <c r="AH23" s="60">
        <f>S40</f>
        <v>406000</v>
      </c>
      <c r="AI23" s="60">
        <f>'FLUJO DE CAJA'!$M13</f>
        <v>220000</v>
      </c>
      <c r="AJ23" s="60">
        <f t="shared" si="10"/>
        <v>186000</v>
      </c>
      <c r="AK23" s="60">
        <f>T40</f>
        <v>406000</v>
      </c>
      <c r="AL23" s="357">
        <f>SIC!$I239</f>
        <v>0</v>
      </c>
      <c r="AM23" s="60">
        <f t="shared" si="11"/>
        <v>406000</v>
      </c>
    </row>
    <row r="24" spans="1:39" ht="12.75">
      <c r="A24" s="453" t="s">
        <v>609</v>
      </c>
      <c r="B24" s="454" t="s">
        <v>613</v>
      </c>
      <c r="C24" s="356">
        <f>C23*10%</f>
        <v>35582.463000000003</v>
      </c>
      <c r="D24" s="356">
        <f>D23*10%</f>
        <v>40600</v>
      </c>
      <c r="E24" s="60"/>
      <c r="F24" s="60"/>
      <c r="G24" s="356">
        <f>G23*10%</f>
        <v>60900</v>
      </c>
      <c r="H24" s="60"/>
      <c r="I24" s="60"/>
      <c r="J24" s="356">
        <f>J23*10%</f>
        <v>40600</v>
      </c>
      <c r="K24" s="60"/>
      <c r="L24" s="60"/>
      <c r="M24" s="356">
        <f>M23*10%</f>
        <v>40600</v>
      </c>
      <c r="N24" s="60"/>
      <c r="O24" s="60"/>
      <c r="P24" s="356">
        <f>P23*10%</f>
        <v>40600</v>
      </c>
      <c r="Q24" s="60"/>
      <c r="R24" s="60"/>
      <c r="S24" s="356">
        <f>S23*10%</f>
        <v>40600</v>
      </c>
      <c r="T24" s="60"/>
      <c r="U24" s="60"/>
      <c r="V24" s="356">
        <f>V23*10%</f>
        <v>40600</v>
      </c>
      <c r="W24" s="60"/>
      <c r="X24" s="60"/>
      <c r="Y24" s="356">
        <f>Y23*10%</f>
        <v>60900</v>
      </c>
      <c r="Z24" s="60"/>
      <c r="AA24" s="60"/>
      <c r="AB24" s="356">
        <f>AB23*10%</f>
        <v>40600</v>
      </c>
      <c r="AC24" s="60"/>
      <c r="AD24" s="60"/>
      <c r="AE24" s="356">
        <f>AE23*10%</f>
        <v>40600</v>
      </c>
      <c r="AF24" s="60"/>
      <c r="AG24" s="60"/>
      <c r="AH24" s="356">
        <f>AH23*10%</f>
        <v>40600</v>
      </c>
      <c r="AI24" s="60"/>
      <c r="AJ24" s="60"/>
      <c r="AK24" s="356">
        <f>AK23*10%</f>
        <v>40600</v>
      </c>
      <c r="AL24" s="357"/>
      <c r="AM24" s="60"/>
    </row>
    <row r="25" spans="1:39" ht="12.75">
      <c r="C25" s="358">
        <f t="shared" ref="C25:AM25" si="36">SUM(C4:C23)</f>
        <v>599790.86744336796</v>
      </c>
      <c r="D25" s="358">
        <f t="shared" si="36"/>
        <v>664512.86118770472</v>
      </c>
      <c r="E25" s="358">
        <f t="shared" si="36"/>
        <v>132558.58000000002</v>
      </c>
      <c r="F25" s="60">
        <f t="shared" si="36"/>
        <v>531954.28118770476</v>
      </c>
      <c r="G25" s="358">
        <f t="shared" si="36"/>
        <v>879377.14730647532</v>
      </c>
      <c r="H25" s="358">
        <f t="shared" si="36"/>
        <v>178530.87</v>
      </c>
      <c r="I25" s="60">
        <f t="shared" si="36"/>
        <v>700846.27730647533</v>
      </c>
      <c r="J25" s="358">
        <f t="shared" si="36"/>
        <v>691594.86203712295</v>
      </c>
      <c r="K25" s="358">
        <f t="shared" si="36"/>
        <v>243908.40000000002</v>
      </c>
      <c r="L25" s="60">
        <f t="shared" si="36"/>
        <v>447686.46203712287</v>
      </c>
      <c r="M25" s="358">
        <f t="shared" si="36"/>
        <v>722134.34824083513</v>
      </c>
      <c r="N25" s="358">
        <f t="shared" si="36"/>
        <v>276436.90000000002</v>
      </c>
      <c r="O25" s="60">
        <f t="shared" si="36"/>
        <v>445697.44824083516</v>
      </c>
      <c r="P25" s="358">
        <f t="shared" si="36"/>
        <v>740547.78306491883</v>
      </c>
      <c r="Q25" s="358">
        <f t="shared" si="36"/>
        <v>272848.31000000006</v>
      </c>
      <c r="R25" s="60">
        <f t="shared" si="36"/>
        <v>467699.47306491865</v>
      </c>
      <c r="S25" s="358">
        <f t="shared" si="36"/>
        <v>760802.5613714105</v>
      </c>
      <c r="T25" s="358">
        <f t="shared" si="36"/>
        <v>269175.65000000002</v>
      </c>
      <c r="U25" s="60">
        <f t="shared" si="36"/>
        <v>491626.91137141065</v>
      </c>
      <c r="V25" s="358">
        <f t="shared" si="36"/>
        <v>783082.81750855152</v>
      </c>
      <c r="W25" s="358">
        <f t="shared" si="36"/>
        <v>252666.88</v>
      </c>
      <c r="X25" s="60">
        <f t="shared" si="36"/>
        <v>530415.93750855164</v>
      </c>
      <c r="Y25" s="358">
        <f t="shared" si="36"/>
        <v>1010591.0992594069</v>
      </c>
      <c r="Z25" s="358">
        <f t="shared" si="36"/>
        <v>336958.33</v>
      </c>
      <c r="AA25" s="60">
        <f t="shared" si="36"/>
        <v>673632.76925940684</v>
      </c>
      <c r="AB25" s="358">
        <f t="shared" si="36"/>
        <v>782589.49976732256</v>
      </c>
      <c r="AC25" s="358">
        <f t="shared" si="36"/>
        <v>294191.53999999998</v>
      </c>
      <c r="AD25" s="60">
        <f t="shared" si="36"/>
        <v>488397.95976732246</v>
      </c>
      <c r="AE25" s="358">
        <f t="shared" si="36"/>
        <v>825048.44974405493</v>
      </c>
      <c r="AF25" s="358">
        <f t="shared" si="36"/>
        <v>367281.36699999997</v>
      </c>
      <c r="AG25" s="60">
        <f t="shared" si="36"/>
        <v>457767.08274405473</v>
      </c>
      <c r="AH25" s="358">
        <f t="shared" si="36"/>
        <v>851953.29471846018</v>
      </c>
      <c r="AI25" s="358">
        <f t="shared" si="36"/>
        <v>381369.59999999998</v>
      </c>
      <c r="AJ25" s="60">
        <f t="shared" si="36"/>
        <v>470583.69471846026</v>
      </c>
      <c r="AK25" s="358">
        <f t="shared" si="36"/>
        <v>881548.62419030617</v>
      </c>
      <c r="AL25" s="358">
        <f t="shared" si="36"/>
        <v>0</v>
      </c>
      <c r="AM25" s="60">
        <f t="shared" si="36"/>
        <v>881548.62419030617</v>
      </c>
    </row>
    <row r="26" spans="1:39" ht="15.75" customHeight="1">
      <c r="B26" s="359" t="s">
        <v>81</v>
      </c>
      <c r="C26" s="360">
        <f>(C25*100)/C2</f>
        <v>1499477.1686084201</v>
      </c>
      <c r="D26" s="360">
        <f>(D25*100)/C2</f>
        <v>1661282.1529692619</v>
      </c>
      <c r="E26" s="360">
        <f>(E25*100)/40</f>
        <v>331396.45000000007</v>
      </c>
      <c r="F26" s="60"/>
      <c r="G26" s="360">
        <f>(G25*100)/C2</f>
        <v>2198442.8682661885</v>
      </c>
      <c r="H26" s="360">
        <f>(H25*100)/40</f>
        <v>446327.17499999999</v>
      </c>
      <c r="I26" s="361"/>
      <c r="J26" s="360">
        <f>(J25*100)/C2</f>
        <v>1728987.1550928075</v>
      </c>
      <c r="K26" s="360">
        <f>(K25*100)/40</f>
        <v>609771.00000000012</v>
      </c>
      <c r="L26" s="361"/>
      <c r="M26" s="360">
        <f>(M25*100)/C2</f>
        <v>1805335.8706020876</v>
      </c>
      <c r="N26" s="360">
        <f>(N25*100)/40</f>
        <v>691092.25000000012</v>
      </c>
      <c r="O26" s="361"/>
      <c r="P26" s="360">
        <f>(P25*100)/C2</f>
        <v>1851369.4576622969</v>
      </c>
      <c r="Q26" s="360">
        <f>(Q25*100)/40</f>
        <v>682120.77500000014</v>
      </c>
      <c r="R26" s="361"/>
      <c r="S26" s="360">
        <f>(S25*100)/C2</f>
        <v>1902006.4034285261</v>
      </c>
      <c r="T26" s="360">
        <f>(T25*100)/40</f>
        <v>672939.12500000012</v>
      </c>
      <c r="U26" s="361"/>
      <c r="V26" s="360">
        <f>(V25*100)/C2</f>
        <v>1957707.0437713787</v>
      </c>
      <c r="W26" s="360">
        <f>(W25*100)/40</f>
        <v>631667.19999999995</v>
      </c>
      <c r="X26" s="362"/>
      <c r="Y26" s="360">
        <f>(Y25*100)/C2</f>
        <v>2526477.7481485172</v>
      </c>
      <c r="Z26" s="360">
        <f>(Z25*100)/40</f>
        <v>842395.82499999995</v>
      </c>
      <c r="AA26" s="362"/>
      <c r="AB26" s="360">
        <f>(AB25*100)/C2</f>
        <v>1956473.7494183064</v>
      </c>
      <c r="AC26" s="360">
        <f>(AC25*100)/40</f>
        <v>735478.84999999986</v>
      </c>
      <c r="AD26" s="362"/>
      <c r="AE26" s="360">
        <f>(AE25*100)/C2</f>
        <v>2062621.1243601374</v>
      </c>
      <c r="AF26" s="360">
        <f>(AF25*100)/40</f>
        <v>918203.41749999986</v>
      </c>
      <c r="AG26" s="362"/>
      <c r="AH26" s="360">
        <f>(AH25*100)/C2</f>
        <v>2129883.2367961504</v>
      </c>
      <c r="AI26" s="360">
        <f>(AI25*100)/40</f>
        <v>953424</v>
      </c>
      <c r="AJ26" s="362"/>
      <c r="AK26" s="360">
        <f>(AK25*100)/C2</f>
        <v>2203871.5604757657</v>
      </c>
      <c r="AL26" s="360">
        <f>(AL25*100)/40</f>
        <v>0</v>
      </c>
      <c r="AM26" s="363"/>
    </row>
    <row r="27" spans="1:39" ht="12.75">
      <c r="B27" s="364" t="s">
        <v>453</v>
      </c>
      <c r="C27" s="365">
        <f t="shared" ref="C27:E27" si="37">C26/26</f>
        <v>57672.198792631541</v>
      </c>
      <c r="D27" s="365">
        <f t="shared" si="37"/>
        <v>63895.467421894689</v>
      </c>
      <c r="E27" s="365">
        <f t="shared" si="37"/>
        <v>12746.017307692311</v>
      </c>
      <c r="F27" s="60"/>
      <c r="G27" s="365">
        <f t="shared" ref="G27:H27" si="38">G26/26</f>
        <v>84555.494933314942</v>
      </c>
      <c r="H27" s="365">
        <f t="shared" si="38"/>
        <v>17166.429807692308</v>
      </c>
      <c r="I27" s="361"/>
      <c r="J27" s="365">
        <f t="shared" ref="J27:K27" si="39">J26/26</f>
        <v>66499.505965107979</v>
      </c>
      <c r="K27" s="365">
        <f t="shared" si="39"/>
        <v>23452.730769230773</v>
      </c>
      <c r="L27" s="361"/>
      <c r="M27" s="365">
        <f t="shared" ref="M27:N27" si="40">M26/26</f>
        <v>69435.995023157215</v>
      </c>
      <c r="N27" s="365">
        <f t="shared" si="40"/>
        <v>26580.47115384616</v>
      </c>
      <c r="O27" s="361"/>
      <c r="P27" s="365">
        <f t="shared" ref="P27:Q27" si="41">P26/26</f>
        <v>71206.517602396038</v>
      </c>
      <c r="Q27" s="365">
        <f t="shared" si="41"/>
        <v>26235.414423076927</v>
      </c>
      <c r="R27" s="361"/>
      <c r="S27" s="365">
        <f t="shared" ref="S27:T27" si="42">S26/26</f>
        <v>73154.092439558692</v>
      </c>
      <c r="T27" s="365">
        <f t="shared" si="42"/>
        <v>25882.274038461543</v>
      </c>
      <c r="U27" s="361"/>
      <c r="V27" s="365">
        <f t="shared" ref="V27:W27" si="43">V26/26</f>
        <v>75296.424760437643</v>
      </c>
      <c r="W27" s="365">
        <f t="shared" si="43"/>
        <v>24294.892307692306</v>
      </c>
      <c r="X27" s="366"/>
      <c r="Y27" s="365">
        <f t="shared" ref="Y27:Z27" si="44">Y26/26</f>
        <v>97172.221082635282</v>
      </c>
      <c r="Z27" s="365">
        <f t="shared" si="44"/>
        <v>32399.839423076923</v>
      </c>
      <c r="AA27" s="366"/>
      <c r="AB27" s="365">
        <f t="shared" ref="AB27:AC27" si="45">AB26/26</f>
        <v>75248.990362242548</v>
      </c>
      <c r="AC27" s="365">
        <f t="shared" si="45"/>
        <v>28287.648076923073</v>
      </c>
      <c r="AD27" s="366"/>
      <c r="AE27" s="365">
        <f t="shared" ref="AE27:AF27" si="46">AE26/26</f>
        <v>79331.581706159137</v>
      </c>
      <c r="AF27" s="365">
        <f t="shared" si="46"/>
        <v>35315.516057692301</v>
      </c>
      <c r="AG27" s="366"/>
      <c r="AH27" s="365">
        <f t="shared" ref="AH27:AI27" si="47">AH26/26</f>
        <v>81918.586030621169</v>
      </c>
      <c r="AI27" s="365">
        <f t="shared" si="47"/>
        <v>36670.153846153844</v>
      </c>
      <c r="AJ27" s="366"/>
      <c r="AK27" s="365">
        <f t="shared" ref="AK27:AL27" si="48">AK26/26</f>
        <v>84764.290787529448</v>
      </c>
      <c r="AL27" s="365">
        <f t="shared" si="48"/>
        <v>0</v>
      </c>
      <c r="AM27" s="366"/>
    </row>
    <row r="28" spans="1:39" ht="12.75">
      <c r="B28" s="364" t="s">
        <v>454</v>
      </c>
      <c r="C28" s="365">
        <f t="shared" ref="C28:E28" si="49">C25/26</f>
        <v>23068.879517052614</v>
      </c>
      <c r="D28" s="365">
        <f t="shared" si="49"/>
        <v>25558.186968757873</v>
      </c>
      <c r="E28" s="365">
        <f t="shared" si="49"/>
        <v>5098.4069230769237</v>
      </c>
      <c r="F28" s="60"/>
      <c r="G28" s="365">
        <f t="shared" ref="G28:H28" si="50">G25/26</f>
        <v>33822.197973325972</v>
      </c>
      <c r="H28" s="365">
        <f t="shared" si="50"/>
        <v>6866.5719230769228</v>
      </c>
      <c r="J28" s="365">
        <f t="shared" ref="J28:K28" si="51">J25/26</f>
        <v>26599.802386043189</v>
      </c>
      <c r="K28" s="365">
        <f t="shared" si="51"/>
        <v>9381.0923076923082</v>
      </c>
      <c r="M28" s="365">
        <f t="shared" ref="M28:N28" si="52">M25/26</f>
        <v>27774.398009262888</v>
      </c>
      <c r="N28" s="365">
        <f t="shared" si="52"/>
        <v>10632.188461538462</v>
      </c>
      <c r="P28" s="365">
        <f t="shared" ref="P28:Q28" si="53">P25/26</f>
        <v>28482.607040958417</v>
      </c>
      <c r="Q28" s="365">
        <f t="shared" si="53"/>
        <v>10494.165769230771</v>
      </c>
      <c r="S28" s="365">
        <f t="shared" ref="S28:T28" si="54">S25/26</f>
        <v>29261.63697582348</v>
      </c>
      <c r="T28" s="365">
        <f t="shared" si="54"/>
        <v>10352.909615384617</v>
      </c>
      <c r="V28" s="365">
        <f t="shared" ref="V28:W28" si="55">V25/26</f>
        <v>30118.569904175059</v>
      </c>
      <c r="W28" s="365">
        <f t="shared" si="55"/>
        <v>9717.956923076923</v>
      </c>
      <c r="Y28" s="365">
        <f t="shared" ref="Y28:Z28" si="56">Y25/26</f>
        <v>38868.888433054111</v>
      </c>
      <c r="Z28" s="365">
        <f t="shared" si="56"/>
        <v>12959.935769230769</v>
      </c>
      <c r="AB28" s="365">
        <f t="shared" ref="AB28:AC28" si="57">AB25/26</f>
        <v>30099.596144897023</v>
      </c>
      <c r="AC28" s="365">
        <f t="shared" si="57"/>
        <v>11315.05923076923</v>
      </c>
      <c r="AE28" s="365">
        <f t="shared" ref="AE28:AF28" si="58">AE25/26</f>
        <v>31732.632682463653</v>
      </c>
      <c r="AF28" s="365">
        <f t="shared" si="58"/>
        <v>14126.206423076921</v>
      </c>
      <c r="AH28" s="365">
        <f t="shared" ref="AH28:AI28" si="59">AH25/26</f>
        <v>32767.434412248469</v>
      </c>
      <c r="AI28" s="365">
        <f t="shared" si="59"/>
        <v>14668.061538461538</v>
      </c>
      <c r="AK28" s="365">
        <f t="shared" ref="AK28:AL28" si="60">AK25/26</f>
        <v>33905.716315011778</v>
      </c>
      <c r="AL28" s="365">
        <f t="shared" si="60"/>
        <v>0</v>
      </c>
    </row>
    <row r="29" spans="1:39" ht="12.75">
      <c r="B29" s="58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366"/>
      <c r="Q29" s="366"/>
      <c r="R29" s="115"/>
      <c r="S29" s="115"/>
      <c r="T29" s="115"/>
      <c r="U29" s="115"/>
    </row>
    <row r="30" spans="1:39" ht="12.75">
      <c r="B30" s="58" t="s">
        <v>101</v>
      </c>
      <c r="C30" s="115" t="s">
        <v>455</v>
      </c>
      <c r="D30" s="115" t="s">
        <v>408</v>
      </c>
      <c r="E30" s="115" t="s">
        <v>456</v>
      </c>
      <c r="F30" s="115" t="s">
        <v>457</v>
      </c>
      <c r="G30" s="115" t="s">
        <v>458</v>
      </c>
      <c r="H30" s="115" t="s">
        <v>459</v>
      </c>
      <c r="I30" s="115" t="s">
        <v>460</v>
      </c>
      <c r="J30" s="115" t="s">
        <v>19</v>
      </c>
      <c r="K30" s="115" t="s">
        <v>20</v>
      </c>
      <c r="L30" s="115" t="s">
        <v>21</v>
      </c>
      <c r="M30" s="115" t="s">
        <v>22</v>
      </c>
      <c r="N30" s="115" t="s">
        <v>23</v>
      </c>
      <c r="O30" s="115" t="s">
        <v>24</v>
      </c>
      <c r="P30" s="115" t="s">
        <v>25</v>
      </c>
      <c r="Q30" s="115" t="s">
        <v>26</v>
      </c>
      <c r="R30" s="115" t="s">
        <v>27</v>
      </c>
      <c r="S30" s="115" t="s">
        <v>28</v>
      </c>
      <c r="T30" s="115" t="s">
        <v>29</v>
      </c>
      <c r="U30" s="115" t="s">
        <v>30</v>
      </c>
    </row>
    <row r="31" spans="1:39" ht="12.75">
      <c r="B31" s="58" t="s">
        <v>461</v>
      </c>
      <c r="C31" s="115">
        <v>1</v>
      </c>
      <c r="D31" s="367">
        <v>8</v>
      </c>
      <c r="E31" s="60">
        <v>180000</v>
      </c>
      <c r="F31" s="60"/>
      <c r="G31" s="60"/>
      <c r="H31" s="60"/>
      <c r="I31" s="500">
        <v>1</v>
      </c>
      <c r="J31" s="60">
        <f t="shared" ref="J31:M31" si="61">($E$31+$F$31)*$C$31</f>
        <v>180000</v>
      </c>
      <c r="K31" s="60">
        <f t="shared" si="61"/>
        <v>180000</v>
      </c>
      <c r="L31" s="60">
        <f t="shared" si="61"/>
        <v>180000</v>
      </c>
      <c r="M31" s="60">
        <f t="shared" si="61"/>
        <v>180000</v>
      </c>
      <c r="N31" s="60">
        <f t="shared" ref="N31:O31" si="62">($E$31+$G$31)*$C$31</f>
        <v>180000</v>
      </c>
      <c r="O31" s="60">
        <f t="shared" si="62"/>
        <v>180000</v>
      </c>
      <c r="P31" s="60">
        <f t="shared" ref="P31:U31" si="63">($E$31+$H$31)*$C$31</f>
        <v>180000</v>
      </c>
      <c r="Q31" s="60">
        <f t="shared" si="63"/>
        <v>180000</v>
      </c>
      <c r="R31" s="60">
        <f t="shared" si="63"/>
        <v>180000</v>
      </c>
      <c r="S31" s="60">
        <f t="shared" si="63"/>
        <v>180000</v>
      </c>
      <c r="T31" s="60">
        <f t="shared" si="63"/>
        <v>180000</v>
      </c>
      <c r="U31" s="60">
        <f t="shared" si="63"/>
        <v>180000</v>
      </c>
    </row>
    <row r="32" spans="1:39" ht="12.75">
      <c r="B32" s="58" t="s">
        <v>462</v>
      </c>
      <c r="C32" s="115">
        <v>2</v>
      </c>
      <c r="D32" s="367">
        <v>8</v>
      </c>
      <c r="E32" s="60">
        <v>100000</v>
      </c>
      <c r="F32" s="60"/>
      <c r="G32" s="60"/>
      <c r="H32" s="60"/>
      <c r="I32" s="456"/>
      <c r="J32" s="60">
        <f t="shared" ref="J32:M32" si="64">($E$32+$F$32)*$C$32</f>
        <v>200000</v>
      </c>
      <c r="K32" s="60">
        <f t="shared" si="64"/>
        <v>200000</v>
      </c>
      <c r="L32" s="60">
        <f t="shared" si="64"/>
        <v>200000</v>
      </c>
      <c r="M32" s="60">
        <f t="shared" si="64"/>
        <v>200000</v>
      </c>
      <c r="N32" s="60">
        <f t="shared" ref="N32:O32" si="65">($E$32+$G$32)*$C$32</f>
        <v>200000</v>
      </c>
      <c r="O32" s="60">
        <f t="shared" si="65"/>
        <v>200000</v>
      </c>
      <c r="P32" s="60">
        <f t="shared" ref="P32:U32" si="66">($E$32+$H$32)*$C$32</f>
        <v>200000</v>
      </c>
      <c r="Q32" s="60">
        <f t="shared" si="66"/>
        <v>200000</v>
      </c>
      <c r="R32" s="60">
        <f t="shared" si="66"/>
        <v>200000</v>
      </c>
      <c r="S32" s="60">
        <f t="shared" si="66"/>
        <v>200000</v>
      </c>
      <c r="T32" s="60">
        <f t="shared" si="66"/>
        <v>200000</v>
      </c>
      <c r="U32" s="60">
        <f t="shared" si="66"/>
        <v>200000</v>
      </c>
    </row>
    <row r="33" spans="2:21" ht="12.75">
      <c r="B33" s="58" t="s">
        <v>463</v>
      </c>
      <c r="C33" s="115">
        <v>2</v>
      </c>
      <c r="D33" s="367">
        <v>8</v>
      </c>
      <c r="E33" s="60">
        <v>100000</v>
      </c>
      <c r="F33" s="60"/>
      <c r="G33" s="60"/>
      <c r="H33" s="60"/>
      <c r="I33" s="456"/>
      <c r="J33" s="60">
        <f t="shared" ref="J33:M33" si="67">($E$33+$F$33)*$C$33</f>
        <v>200000</v>
      </c>
      <c r="K33" s="60">
        <f t="shared" si="67"/>
        <v>200000</v>
      </c>
      <c r="L33" s="60">
        <f t="shared" si="67"/>
        <v>200000</v>
      </c>
      <c r="M33" s="60">
        <f t="shared" si="67"/>
        <v>200000</v>
      </c>
      <c r="N33" s="60">
        <f t="shared" ref="N33:O33" si="68">($E$33+$G$33)*$C$33</f>
        <v>200000</v>
      </c>
      <c r="O33" s="60">
        <f t="shared" si="68"/>
        <v>200000</v>
      </c>
      <c r="P33" s="60">
        <f t="shared" ref="P33:U33" si="69">($E$33+$H$33)*$C$33</f>
        <v>200000</v>
      </c>
      <c r="Q33" s="60">
        <f t="shared" si="69"/>
        <v>200000</v>
      </c>
      <c r="R33" s="60">
        <f t="shared" si="69"/>
        <v>200000</v>
      </c>
      <c r="S33" s="60">
        <f t="shared" si="69"/>
        <v>200000</v>
      </c>
      <c r="T33" s="60">
        <f t="shared" si="69"/>
        <v>200000</v>
      </c>
      <c r="U33" s="60">
        <f t="shared" si="69"/>
        <v>200000</v>
      </c>
    </row>
    <row r="34" spans="2:21" ht="12.75">
      <c r="D34" s="368"/>
      <c r="E34" s="368"/>
      <c r="F34" s="368"/>
      <c r="G34" s="368"/>
      <c r="H34" s="368"/>
      <c r="I34" s="368"/>
      <c r="J34" s="369">
        <f>SUM(J31:J33)</f>
        <v>580000</v>
      </c>
      <c r="K34" s="369">
        <f>SUM(K31:K33)+((MAX(J34,U34,T34,S34,R34))/2)</f>
        <v>870000</v>
      </c>
      <c r="L34" s="369">
        <f t="shared" ref="L34:P34" si="70">SUM(L31:L33)</f>
        <v>580000</v>
      </c>
      <c r="M34" s="369">
        <f t="shared" si="70"/>
        <v>580000</v>
      </c>
      <c r="N34" s="369">
        <f t="shared" si="70"/>
        <v>580000</v>
      </c>
      <c r="O34" s="369">
        <f t="shared" si="70"/>
        <v>580000</v>
      </c>
      <c r="P34" s="369">
        <f t="shared" si="70"/>
        <v>580000</v>
      </c>
      <c r="Q34" s="369">
        <f>SUM(Q31:Q33)+((MAX(P34,O34,N34,M34,L34))/2)</f>
        <v>870000</v>
      </c>
      <c r="R34" s="369">
        <f t="shared" ref="R34:U34" si="71">SUM(R31:R33)</f>
        <v>580000</v>
      </c>
      <c r="S34" s="369">
        <f t="shared" si="71"/>
        <v>580000</v>
      </c>
      <c r="T34" s="369">
        <f t="shared" si="71"/>
        <v>580000</v>
      </c>
      <c r="U34" s="369">
        <f t="shared" si="71"/>
        <v>580000</v>
      </c>
    </row>
    <row r="36" spans="2:21" ht="12.75">
      <c r="I36" s="115" t="s">
        <v>464</v>
      </c>
      <c r="J36" s="115" t="s">
        <v>19</v>
      </c>
      <c r="K36" s="115" t="s">
        <v>20</v>
      </c>
      <c r="L36" s="115" t="s">
        <v>21</v>
      </c>
      <c r="M36" s="115" t="s">
        <v>22</v>
      </c>
      <c r="N36" s="115" t="s">
        <v>23</v>
      </c>
      <c r="O36" s="115" t="s">
        <v>24</v>
      </c>
      <c r="P36" s="115" t="s">
        <v>25</v>
      </c>
      <c r="Q36" s="115" t="s">
        <v>26</v>
      </c>
      <c r="R36" s="115" t="s">
        <v>27</v>
      </c>
      <c r="S36" s="115" t="s">
        <v>28</v>
      </c>
      <c r="T36" s="115" t="s">
        <v>29</v>
      </c>
      <c r="U36" s="115" t="s">
        <v>30</v>
      </c>
    </row>
    <row r="37" spans="2:21" ht="12.75">
      <c r="I37" s="500">
        <v>0.7</v>
      </c>
      <c r="J37" s="60">
        <f t="shared" ref="J37:U37" si="72">J31*$I$37</f>
        <v>125999.99999999999</v>
      </c>
      <c r="K37" s="60">
        <f t="shared" si="72"/>
        <v>125999.99999999999</v>
      </c>
      <c r="L37" s="60">
        <f t="shared" si="72"/>
        <v>125999.99999999999</v>
      </c>
      <c r="M37" s="60">
        <f t="shared" si="72"/>
        <v>125999.99999999999</v>
      </c>
      <c r="N37" s="60">
        <f t="shared" si="72"/>
        <v>125999.99999999999</v>
      </c>
      <c r="O37" s="60">
        <f t="shared" si="72"/>
        <v>125999.99999999999</v>
      </c>
      <c r="P37" s="60">
        <f t="shared" si="72"/>
        <v>125999.99999999999</v>
      </c>
      <c r="Q37" s="60">
        <f t="shared" si="72"/>
        <v>125999.99999999999</v>
      </c>
      <c r="R37" s="60">
        <f t="shared" si="72"/>
        <v>125999.99999999999</v>
      </c>
      <c r="S37" s="60">
        <f t="shared" si="72"/>
        <v>125999.99999999999</v>
      </c>
      <c r="T37" s="60">
        <f t="shared" si="72"/>
        <v>125999.99999999999</v>
      </c>
      <c r="U37" s="60">
        <f t="shared" si="72"/>
        <v>125999.99999999999</v>
      </c>
    </row>
    <row r="38" spans="2:21" ht="12.75">
      <c r="I38" s="456"/>
      <c r="J38" s="60">
        <f t="shared" ref="J38:U38" si="73">J32*$I$37</f>
        <v>140000</v>
      </c>
      <c r="K38" s="60">
        <f t="shared" si="73"/>
        <v>140000</v>
      </c>
      <c r="L38" s="60">
        <f t="shared" si="73"/>
        <v>140000</v>
      </c>
      <c r="M38" s="60">
        <f t="shared" si="73"/>
        <v>140000</v>
      </c>
      <c r="N38" s="60">
        <f t="shared" si="73"/>
        <v>140000</v>
      </c>
      <c r="O38" s="60">
        <f t="shared" si="73"/>
        <v>140000</v>
      </c>
      <c r="P38" s="60">
        <f t="shared" si="73"/>
        <v>140000</v>
      </c>
      <c r="Q38" s="60">
        <f t="shared" si="73"/>
        <v>140000</v>
      </c>
      <c r="R38" s="60">
        <f t="shared" si="73"/>
        <v>140000</v>
      </c>
      <c r="S38" s="60">
        <f t="shared" si="73"/>
        <v>140000</v>
      </c>
      <c r="T38" s="60">
        <f t="shared" si="73"/>
        <v>140000</v>
      </c>
      <c r="U38" s="60">
        <f t="shared" si="73"/>
        <v>140000</v>
      </c>
    </row>
    <row r="39" spans="2:21" ht="12.75">
      <c r="I39" s="456"/>
      <c r="J39" s="60">
        <f t="shared" ref="J39:U39" si="74">J33*$I$37</f>
        <v>140000</v>
      </c>
      <c r="K39" s="60">
        <f t="shared" si="74"/>
        <v>140000</v>
      </c>
      <c r="L39" s="60">
        <f t="shared" si="74"/>
        <v>140000</v>
      </c>
      <c r="M39" s="60">
        <f t="shared" si="74"/>
        <v>140000</v>
      </c>
      <c r="N39" s="60">
        <f t="shared" si="74"/>
        <v>140000</v>
      </c>
      <c r="O39" s="60">
        <f t="shared" si="74"/>
        <v>140000</v>
      </c>
      <c r="P39" s="60">
        <f t="shared" si="74"/>
        <v>140000</v>
      </c>
      <c r="Q39" s="60">
        <f t="shared" si="74"/>
        <v>140000</v>
      </c>
      <c r="R39" s="60">
        <f t="shared" si="74"/>
        <v>140000</v>
      </c>
      <c r="S39" s="60">
        <f t="shared" si="74"/>
        <v>140000</v>
      </c>
      <c r="T39" s="60">
        <f t="shared" si="74"/>
        <v>140000</v>
      </c>
      <c r="U39" s="60">
        <f t="shared" si="74"/>
        <v>140000</v>
      </c>
    </row>
    <row r="40" spans="2:21" ht="12.75">
      <c r="J40" s="369">
        <f>SUM(J37:J39)</f>
        <v>406000</v>
      </c>
      <c r="K40" s="369">
        <f>SUM(K37:K39)+((MAX(J40,U40,T40,S40,R40))/2)</f>
        <v>609000</v>
      </c>
      <c r="L40" s="369">
        <f t="shared" ref="L40:P40" si="75">SUM(L37:L39)</f>
        <v>406000</v>
      </c>
      <c r="M40" s="369">
        <f t="shared" si="75"/>
        <v>406000</v>
      </c>
      <c r="N40" s="369">
        <f t="shared" si="75"/>
        <v>406000</v>
      </c>
      <c r="O40" s="369">
        <f t="shared" si="75"/>
        <v>406000</v>
      </c>
      <c r="P40" s="369">
        <f t="shared" si="75"/>
        <v>406000</v>
      </c>
      <c r="Q40" s="369">
        <f>SUM(Q37:Q39)+((MAX(P40,O40,N40,M40,L40))/2)</f>
        <v>609000</v>
      </c>
      <c r="R40" s="369">
        <f t="shared" ref="R40:U40" si="76">SUM(R37:R39)</f>
        <v>406000</v>
      </c>
      <c r="S40" s="369">
        <f t="shared" si="76"/>
        <v>406000</v>
      </c>
      <c r="T40" s="369">
        <f t="shared" si="76"/>
        <v>406000</v>
      </c>
      <c r="U40" s="369">
        <f t="shared" si="76"/>
        <v>406000</v>
      </c>
    </row>
    <row r="41" spans="2:21" ht="12.75">
      <c r="J41" s="58">
        <f>J39/2</f>
        <v>70000</v>
      </c>
    </row>
  </sheetData>
  <mergeCells count="2">
    <mergeCell ref="I31:I33"/>
    <mergeCell ref="I37:I39"/>
  </mergeCells>
  <conditionalFormatting sqref="C7 C19:C20">
    <cfRule type="cellIs" dxfId="10" priority="1" operator="equal">
      <formula>0</formula>
    </cfRule>
  </conditionalFormatting>
  <conditionalFormatting sqref="F4:F28 I4:I25 L4:L25 O4:O25 R4:R25 U4:U25 X4:X25 AA4:AA25 AD4:AD25 AG4:AG25 AJ4:AJ25 AM4:AM25">
    <cfRule type="cellIs" dxfId="9" priority="2" operator="greaterThanOrEqual">
      <formula>0</formula>
    </cfRule>
  </conditionalFormatting>
  <conditionalFormatting sqref="F4:F28 I4:I25 L4:L25 O4:O25 R4:R25 U4:U25 X4:X25 AA4:AA25 AD4:AD25 AG4:AG25 AJ4:AJ25 AM4:AM25">
    <cfRule type="cellIs" dxfId="8" priority="3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AE996"/>
  <sheetViews>
    <sheetView workbookViewId="0"/>
  </sheetViews>
  <sheetFormatPr baseColWidth="10" defaultColWidth="12.5703125" defaultRowHeight="15.75" customHeight="1"/>
  <cols>
    <col min="1" max="1" width="14.5703125" customWidth="1"/>
    <col min="2" max="2" width="12" customWidth="1"/>
    <col min="3" max="3" width="15.42578125" customWidth="1"/>
    <col min="4" max="4" width="9" customWidth="1"/>
    <col min="5" max="5" width="11.28515625" customWidth="1"/>
    <col min="6" max="6" width="14.7109375" customWidth="1"/>
    <col min="7" max="9" width="10.42578125" customWidth="1"/>
    <col min="10" max="10" width="13.42578125" customWidth="1"/>
    <col min="11" max="11" width="12.42578125" customWidth="1"/>
    <col min="13" max="13" width="18.7109375" customWidth="1"/>
  </cols>
  <sheetData>
    <row r="1" spans="1:31" ht="12.75">
      <c r="A1" s="501" t="s">
        <v>465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</row>
    <row r="2" spans="1:31" ht="12.75">
      <c r="A2" s="370"/>
      <c r="B2" s="370"/>
      <c r="C2" s="238"/>
      <c r="D2" s="238"/>
      <c r="E2" s="238"/>
      <c r="F2" s="355"/>
      <c r="G2" s="371"/>
      <c r="H2" s="355"/>
      <c r="I2" s="355"/>
      <c r="J2" s="355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</row>
    <row r="3" spans="1:31" ht="12.75">
      <c r="A3" s="370" t="s">
        <v>156</v>
      </c>
      <c r="B3" s="370" t="s">
        <v>360</v>
      </c>
      <c r="C3" s="238" t="s">
        <v>157</v>
      </c>
      <c r="D3" s="238" t="s">
        <v>158</v>
      </c>
      <c r="E3" s="238" t="s">
        <v>159</v>
      </c>
      <c r="F3" s="355" t="s">
        <v>466</v>
      </c>
      <c r="G3" s="371" t="s">
        <v>467</v>
      </c>
      <c r="H3" s="355" t="s">
        <v>468</v>
      </c>
      <c r="I3" s="355" t="s">
        <v>469</v>
      </c>
      <c r="J3" s="355" t="s">
        <v>470</v>
      </c>
      <c r="K3" s="238" t="s">
        <v>471</v>
      </c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  <c r="AE3" s="238"/>
    </row>
    <row r="4" spans="1:31" ht="12.75">
      <c r="A4" s="372">
        <v>44671</v>
      </c>
      <c r="B4" s="372">
        <v>44671</v>
      </c>
      <c r="C4" s="115" t="s">
        <v>472</v>
      </c>
      <c r="D4" s="115" t="s">
        <v>168</v>
      </c>
      <c r="E4" s="115" t="s">
        <v>473</v>
      </c>
      <c r="F4" s="60">
        <v>76919.009999999995</v>
      </c>
      <c r="G4" s="373">
        <v>21</v>
      </c>
      <c r="H4" s="60">
        <f t="shared" ref="H4:H17" si="0">F4*G4%</f>
        <v>16152.992099999998</v>
      </c>
      <c r="I4" s="60"/>
      <c r="J4" s="60">
        <f t="shared" ref="J4:J17" si="1">F4+H4+I4</f>
        <v>93072.002099999998</v>
      </c>
      <c r="K4" s="115" t="s">
        <v>474</v>
      </c>
    </row>
    <row r="5" spans="1:31" ht="12.75">
      <c r="A5" s="372">
        <v>44672</v>
      </c>
      <c r="B5" s="372">
        <v>44672</v>
      </c>
      <c r="C5" s="115" t="s">
        <v>165</v>
      </c>
      <c r="D5" s="115" t="s">
        <v>166</v>
      </c>
      <c r="E5" s="115" t="s">
        <v>475</v>
      </c>
      <c r="F5" s="60">
        <v>15132.27</v>
      </c>
      <c r="G5" s="373">
        <v>0</v>
      </c>
      <c r="H5" s="60">
        <f t="shared" si="0"/>
        <v>0</v>
      </c>
      <c r="I5" s="60"/>
      <c r="J5" s="60">
        <f t="shared" si="1"/>
        <v>15132.27</v>
      </c>
      <c r="K5" s="115" t="s">
        <v>474</v>
      </c>
    </row>
    <row r="6" spans="1:31" ht="12.75">
      <c r="A6" s="372">
        <v>44672</v>
      </c>
      <c r="B6" s="372">
        <v>44672</v>
      </c>
      <c r="C6" s="115" t="s">
        <v>165</v>
      </c>
      <c r="D6" s="115" t="s">
        <v>168</v>
      </c>
      <c r="E6" s="115" t="s">
        <v>476</v>
      </c>
      <c r="F6" s="60">
        <v>20465.43</v>
      </c>
      <c r="G6" s="373">
        <v>21</v>
      </c>
      <c r="H6" s="60">
        <f t="shared" si="0"/>
        <v>4297.7402999999995</v>
      </c>
      <c r="I6" s="60"/>
      <c r="J6" s="60">
        <f t="shared" si="1"/>
        <v>24763.170299999998</v>
      </c>
      <c r="K6" s="115" t="s">
        <v>474</v>
      </c>
    </row>
    <row r="7" spans="1:31" ht="12.75">
      <c r="A7" s="372">
        <v>44672</v>
      </c>
      <c r="B7" s="372">
        <v>44672</v>
      </c>
      <c r="C7" s="115" t="s">
        <v>165</v>
      </c>
      <c r="D7" s="115" t="s">
        <v>166</v>
      </c>
      <c r="E7" s="115" t="s">
        <v>477</v>
      </c>
      <c r="F7" s="60">
        <v>10484.459999999999</v>
      </c>
      <c r="G7" s="373">
        <v>0</v>
      </c>
      <c r="H7" s="60">
        <f t="shared" si="0"/>
        <v>0</v>
      </c>
      <c r="I7" s="60"/>
      <c r="J7" s="60">
        <f t="shared" si="1"/>
        <v>10484.459999999999</v>
      </c>
      <c r="K7" s="115" t="s">
        <v>474</v>
      </c>
    </row>
    <row r="8" spans="1:31" ht="12.75">
      <c r="A8" s="372">
        <v>44672</v>
      </c>
      <c r="B8" s="372">
        <v>44672</v>
      </c>
      <c r="C8" s="115" t="s">
        <v>478</v>
      </c>
      <c r="D8" s="115" t="s">
        <v>170</v>
      </c>
      <c r="E8" s="115" t="s">
        <v>171</v>
      </c>
      <c r="F8" s="60">
        <v>3390</v>
      </c>
      <c r="G8" s="373">
        <v>0</v>
      </c>
      <c r="H8" s="60">
        <f t="shared" si="0"/>
        <v>0</v>
      </c>
      <c r="I8" s="60"/>
      <c r="J8" s="60">
        <f t="shared" si="1"/>
        <v>3390</v>
      </c>
      <c r="K8" s="115" t="s">
        <v>474</v>
      </c>
    </row>
    <row r="9" spans="1:31" ht="12.75">
      <c r="A9" s="372">
        <v>44673</v>
      </c>
      <c r="B9" s="372">
        <v>44673</v>
      </c>
      <c r="C9" s="115" t="s">
        <v>167</v>
      </c>
      <c r="D9" s="115" t="s">
        <v>168</v>
      </c>
      <c r="E9" s="115" t="s">
        <v>479</v>
      </c>
      <c r="F9" s="60">
        <v>3342.54</v>
      </c>
      <c r="G9" s="373">
        <v>21</v>
      </c>
      <c r="H9" s="60">
        <f t="shared" si="0"/>
        <v>701.93340000000001</v>
      </c>
      <c r="I9" s="60">
        <v>12492.92</v>
      </c>
      <c r="J9" s="60">
        <f t="shared" si="1"/>
        <v>16537.393400000001</v>
      </c>
      <c r="K9" s="115" t="s">
        <v>474</v>
      </c>
    </row>
    <row r="10" spans="1:31" ht="12.75">
      <c r="A10" s="372">
        <v>44673</v>
      </c>
      <c r="B10" s="372">
        <v>44673</v>
      </c>
      <c r="C10" s="115" t="s">
        <v>480</v>
      </c>
      <c r="D10" s="115" t="s">
        <v>170</v>
      </c>
      <c r="E10" s="115" t="s">
        <v>171</v>
      </c>
      <c r="F10" s="60">
        <v>4000</v>
      </c>
      <c r="G10" s="373">
        <v>0</v>
      </c>
      <c r="H10" s="60">
        <f t="shared" si="0"/>
        <v>0</v>
      </c>
      <c r="I10" s="60"/>
      <c r="J10" s="60">
        <f t="shared" si="1"/>
        <v>4000</v>
      </c>
      <c r="K10" s="115" t="s">
        <v>474</v>
      </c>
      <c r="M10" s="372" t="s">
        <v>481</v>
      </c>
      <c r="N10" s="115" t="s">
        <v>174</v>
      </c>
      <c r="P10" s="115"/>
      <c r="Q10" s="114">
        <v>4400</v>
      </c>
    </row>
    <row r="11" spans="1:31" ht="12.75">
      <c r="A11" s="372">
        <v>44673</v>
      </c>
      <c r="B11" s="372">
        <v>44673</v>
      </c>
      <c r="C11" s="115" t="s">
        <v>172</v>
      </c>
      <c r="D11" s="115" t="s">
        <v>168</v>
      </c>
      <c r="E11" s="374">
        <v>1586706</v>
      </c>
      <c r="F11" s="60">
        <v>62811.11</v>
      </c>
      <c r="G11" s="373">
        <v>21</v>
      </c>
      <c r="H11" s="60">
        <f t="shared" si="0"/>
        <v>13190.3331</v>
      </c>
      <c r="I11" s="60"/>
      <c r="J11" s="60">
        <f t="shared" si="1"/>
        <v>76001.443100000004</v>
      </c>
      <c r="K11" s="115" t="s">
        <v>474</v>
      </c>
      <c r="M11" s="372" t="s">
        <v>482</v>
      </c>
      <c r="N11" s="115" t="s">
        <v>165</v>
      </c>
      <c r="P11" s="115"/>
      <c r="Q11" s="114">
        <v>12909.52</v>
      </c>
    </row>
    <row r="12" spans="1:31" ht="12.75">
      <c r="A12" s="372">
        <v>44673</v>
      </c>
      <c r="B12" s="372">
        <v>44673</v>
      </c>
      <c r="C12" s="115" t="s">
        <v>172</v>
      </c>
      <c r="D12" s="115" t="s">
        <v>170</v>
      </c>
      <c r="E12" s="115" t="s">
        <v>483</v>
      </c>
      <c r="F12" s="60">
        <f>138220.07-76001.44</f>
        <v>62218.630000000005</v>
      </c>
      <c r="G12" s="373">
        <v>0</v>
      </c>
      <c r="H12" s="60">
        <f t="shared" si="0"/>
        <v>0</v>
      </c>
      <c r="I12" s="60"/>
      <c r="J12" s="60">
        <f t="shared" si="1"/>
        <v>62218.630000000005</v>
      </c>
      <c r="K12" s="115" t="s">
        <v>474</v>
      </c>
      <c r="M12" s="372" t="s">
        <v>482</v>
      </c>
      <c r="N12" s="115" t="s">
        <v>172</v>
      </c>
      <c r="P12" s="115"/>
      <c r="Q12" s="114">
        <v>17623.07</v>
      </c>
    </row>
    <row r="13" spans="1:31" ht="12.75">
      <c r="A13" s="372">
        <v>44674</v>
      </c>
      <c r="B13" s="372">
        <v>44674</v>
      </c>
      <c r="C13" s="115" t="s">
        <v>169</v>
      </c>
      <c r="D13" s="115" t="s">
        <v>170</v>
      </c>
      <c r="E13" s="115" t="s">
        <v>484</v>
      </c>
      <c r="F13" s="60">
        <v>7130</v>
      </c>
      <c r="G13" s="373">
        <v>0</v>
      </c>
      <c r="H13" s="60">
        <f t="shared" si="0"/>
        <v>0</v>
      </c>
      <c r="I13" s="60"/>
      <c r="J13" s="60">
        <f t="shared" si="1"/>
        <v>7130</v>
      </c>
      <c r="K13" s="115" t="s">
        <v>474</v>
      </c>
      <c r="M13" s="372" t="s">
        <v>481</v>
      </c>
      <c r="N13" s="115" t="s">
        <v>174</v>
      </c>
      <c r="P13" s="115"/>
      <c r="Q13" s="114">
        <v>3000</v>
      </c>
    </row>
    <row r="14" spans="1:31" ht="12.75">
      <c r="A14" s="372">
        <v>44674</v>
      </c>
      <c r="B14" s="372">
        <v>44674</v>
      </c>
      <c r="C14" s="115" t="s">
        <v>169</v>
      </c>
      <c r="D14" s="115" t="s">
        <v>170</v>
      </c>
      <c r="E14" s="115" t="s">
        <v>485</v>
      </c>
      <c r="F14" s="60">
        <v>5830</v>
      </c>
      <c r="G14" s="373">
        <v>0</v>
      </c>
      <c r="H14" s="60">
        <f t="shared" si="0"/>
        <v>0</v>
      </c>
      <c r="I14" s="60"/>
      <c r="J14" s="60">
        <f t="shared" si="1"/>
        <v>5830</v>
      </c>
      <c r="K14" s="115" t="s">
        <v>474</v>
      </c>
      <c r="M14" s="372" t="s">
        <v>486</v>
      </c>
      <c r="N14" s="115" t="s">
        <v>165</v>
      </c>
      <c r="P14" s="115"/>
      <c r="Q14" s="114">
        <v>3249.33</v>
      </c>
    </row>
    <row r="15" spans="1:31" ht="12.75">
      <c r="A15" s="372">
        <v>44676</v>
      </c>
      <c r="B15" s="372">
        <v>44676</v>
      </c>
      <c r="C15" s="115" t="s">
        <v>180</v>
      </c>
      <c r="D15" s="115" t="s">
        <v>166</v>
      </c>
      <c r="E15" s="115" t="s">
        <v>487</v>
      </c>
      <c r="F15" s="60">
        <v>7304.64</v>
      </c>
      <c r="G15" s="373">
        <v>10.5</v>
      </c>
      <c r="H15" s="60">
        <f t="shared" si="0"/>
        <v>766.98720000000003</v>
      </c>
      <c r="I15" s="60"/>
      <c r="J15" s="375">
        <f t="shared" si="1"/>
        <v>8071.6272000000008</v>
      </c>
      <c r="K15" s="115" t="s">
        <v>474</v>
      </c>
      <c r="M15" s="372" t="s">
        <v>488</v>
      </c>
      <c r="N15" s="115" t="s">
        <v>169</v>
      </c>
      <c r="P15" s="115"/>
      <c r="Q15" s="114">
        <v>4840</v>
      </c>
    </row>
    <row r="16" spans="1:31" ht="12.75">
      <c r="A16" s="372">
        <v>44676</v>
      </c>
      <c r="B16" s="372">
        <v>44676</v>
      </c>
      <c r="C16" s="115" t="s">
        <v>180</v>
      </c>
      <c r="D16" s="115" t="s">
        <v>166</v>
      </c>
      <c r="E16" s="115" t="s">
        <v>489</v>
      </c>
      <c r="F16" s="60">
        <v>8213.3799999999992</v>
      </c>
      <c r="G16" s="373">
        <v>10.5</v>
      </c>
      <c r="H16" s="60">
        <f t="shared" si="0"/>
        <v>862.40489999999988</v>
      </c>
      <c r="I16" s="60"/>
      <c r="J16" s="375">
        <f t="shared" si="1"/>
        <v>9075.7848999999987</v>
      </c>
      <c r="K16" s="115" t="s">
        <v>474</v>
      </c>
      <c r="M16" s="372" t="s">
        <v>481</v>
      </c>
      <c r="N16" s="115" t="s">
        <v>490</v>
      </c>
      <c r="P16" s="115"/>
      <c r="Q16" s="114">
        <v>13200</v>
      </c>
    </row>
    <row r="17" spans="1:17" ht="12.75">
      <c r="A17" s="372">
        <v>44676</v>
      </c>
      <c r="B17" s="372">
        <v>44676</v>
      </c>
      <c r="C17" s="115" t="s">
        <v>491</v>
      </c>
      <c r="D17" s="115" t="s">
        <v>170</v>
      </c>
      <c r="E17" s="115" t="s">
        <v>171</v>
      </c>
      <c r="F17" s="60">
        <v>4400</v>
      </c>
      <c r="G17" s="373">
        <v>0</v>
      </c>
      <c r="H17" s="60">
        <f t="shared" si="0"/>
        <v>0</v>
      </c>
      <c r="I17" s="60"/>
      <c r="J17" s="60">
        <f t="shared" si="1"/>
        <v>4400</v>
      </c>
      <c r="K17" s="115" t="s">
        <v>474</v>
      </c>
      <c r="M17" s="372" t="s">
        <v>175</v>
      </c>
      <c r="N17" s="115" t="s">
        <v>167</v>
      </c>
      <c r="P17" s="115"/>
      <c r="Q17" s="114">
        <v>33312.120000000003</v>
      </c>
    </row>
    <row r="18" spans="1:17" ht="12.75">
      <c r="A18" s="372">
        <v>44676</v>
      </c>
      <c r="B18" s="372">
        <v>44676</v>
      </c>
      <c r="C18" s="115" t="s">
        <v>478</v>
      </c>
      <c r="D18" s="115" t="s">
        <v>170</v>
      </c>
      <c r="E18" s="115" t="s">
        <v>171</v>
      </c>
      <c r="F18" s="60">
        <v>860</v>
      </c>
      <c r="G18" s="373"/>
      <c r="H18" s="60"/>
      <c r="I18" s="60"/>
      <c r="J18" s="60">
        <v>680</v>
      </c>
      <c r="K18" s="115" t="s">
        <v>474</v>
      </c>
      <c r="M18" s="372" t="s">
        <v>486</v>
      </c>
      <c r="N18" s="115" t="s">
        <v>167</v>
      </c>
      <c r="P18" s="115"/>
      <c r="Q18" s="114">
        <v>2268.61</v>
      </c>
    </row>
    <row r="19" spans="1:17" ht="12.75">
      <c r="A19" s="372">
        <v>44677</v>
      </c>
      <c r="B19" s="372">
        <v>44677</v>
      </c>
      <c r="C19" s="115" t="s">
        <v>165</v>
      </c>
      <c r="D19" s="115" t="s">
        <v>166</v>
      </c>
      <c r="E19" s="115" t="s">
        <v>492</v>
      </c>
      <c r="F19" s="60">
        <v>12909.52</v>
      </c>
      <c r="G19" s="373">
        <v>0</v>
      </c>
      <c r="H19" s="60">
        <f t="shared" ref="H19:H42" si="2">F19*G19%</f>
        <v>0</v>
      </c>
      <c r="I19" s="60"/>
      <c r="J19" s="60">
        <f t="shared" ref="J19:J27" si="3">F19+H19+I19</f>
        <v>12909.52</v>
      </c>
      <c r="K19" s="115" t="s">
        <v>474</v>
      </c>
      <c r="M19" s="372" t="s">
        <v>175</v>
      </c>
      <c r="N19" s="115" t="s">
        <v>167</v>
      </c>
      <c r="P19" s="115"/>
      <c r="Q19" s="114">
        <v>10998.829399999999</v>
      </c>
    </row>
    <row r="20" spans="1:17" ht="12.75">
      <c r="A20" s="372">
        <v>44678</v>
      </c>
      <c r="B20" s="372">
        <v>44678</v>
      </c>
      <c r="C20" s="115" t="s">
        <v>172</v>
      </c>
      <c r="D20" s="115" t="s">
        <v>170</v>
      </c>
      <c r="E20" s="115" t="s">
        <v>493</v>
      </c>
      <c r="F20" s="60">
        <v>17623.07</v>
      </c>
      <c r="G20" s="373">
        <v>0</v>
      </c>
      <c r="H20" s="60">
        <f t="shared" si="2"/>
        <v>0</v>
      </c>
      <c r="I20" s="60"/>
      <c r="J20" s="375">
        <f t="shared" si="3"/>
        <v>17623.07</v>
      </c>
      <c r="K20" s="115" t="s">
        <v>474</v>
      </c>
      <c r="M20" s="372"/>
      <c r="N20" s="115"/>
      <c r="P20" s="115"/>
      <c r="Q20" s="114">
        <f>SUM(Q10:Q19)</f>
        <v>105801.47940000001</v>
      </c>
    </row>
    <row r="21" spans="1:17" ht="12.75">
      <c r="A21" s="372">
        <v>44679</v>
      </c>
      <c r="B21" s="372">
        <v>44679</v>
      </c>
      <c r="C21" s="115" t="s">
        <v>165</v>
      </c>
      <c r="D21" s="115" t="s">
        <v>166</v>
      </c>
      <c r="E21" s="115" t="s">
        <v>494</v>
      </c>
      <c r="F21" s="60">
        <v>3249.33</v>
      </c>
      <c r="G21" s="373">
        <v>0</v>
      </c>
      <c r="H21" s="60">
        <f t="shared" si="2"/>
        <v>0</v>
      </c>
      <c r="I21" s="60"/>
      <c r="J21" s="375">
        <f t="shared" si="3"/>
        <v>3249.33</v>
      </c>
      <c r="K21" s="115" t="s">
        <v>474</v>
      </c>
      <c r="M21" s="372"/>
      <c r="N21" s="115"/>
      <c r="P21" s="115"/>
      <c r="Q21" s="114"/>
    </row>
    <row r="22" spans="1:17" ht="12.75">
      <c r="A22" s="372">
        <v>44679</v>
      </c>
      <c r="B22" s="372">
        <v>44679</v>
      </c>
      <c r="C22" s="115" t="s">
        <v>495</v>
      </c>
      <c r="D22" s="115" t="s">
        <v>170</v>
      </c>
      <c r="E22" s="115" t="s">
        <v>171</v>
      </c>
      <c r="F22" s="60">
        <v>3000</v>
      </c>
      <c r="G22" s="373">
        <v>0</v>
      </c>
      <c r="H22" s="60">
        <f t="shared" si="2"/>
        <v>0</v>
      </c>
      <c r="I22" s="60"/>
      <c r="J22" s="375">
        <f t="shared" si="3"/>
        <v>3000</v>
      </c>
      <c r="K22" s="115" t="s">
        <v>474</v>
      </c>
      <c r="M22" s="372"/>
      <c r="N22" s="115"/>
      <c r="P22" s="115"/>
      <c r="Q22" s="114"/>
    </row>
    <row r="23" spans="1:17" ht="12.75">
      <c r="A23" s="372">
        <v>44679</v>
      </c>
      <c r="B23" s="372">
        <v>44679</v>
      </c>
      <c r="C23" s="115" t="s">
        <v>496</v>
      </c>
      <c r="D23" s="115" t="s">
        <v>170</v>
      </c>
      <c r="E23" s="115" t="s">
        <v>171</v>
      </c>
      <c r="F23" s="60">
        <v>13200</v>
      </c>
      <c r="G23" s="373">
        <v>0</v>
      </c>
      <c r="H23" s="60">
        <f t="shared" si="2"/>
        <v>0</v>
      </c>
      <c r="I23" s="60"/>
      <c r="J23" s="375">
        <f t="shared" si="3"/>
        <v>13200</v>
      </c>
      <c r="K23" s="115" t="s">
        <v>474</v>
      </c>
      <c r="M23" s="372"/>
      <c r="N23" s="115"/>
      <c r="P23" s="115"/>
      <c r="Q23" s="114"/>
    </row>
    <row r="24" spans="1:17" ht="12.75">
      <c r="A24" s="372">
        <v>44679</v>
      </c>
      <c r="B24" s="372">
        <v>44679</v>
      </c>
      <c r="C24" s="115" t="s">
        <v>169</v>
      </c>
      <c r="D24" s="115" t="s">
        <v>170</v>
      </c>
      <c r="E24" s="115" t="s">
        <v>497</v>
      </c>
      <c r="F24" s="60">
        <v>4840</v>
      </c>
      <c r="G24" s="373">
        <v>0</v>
      </c>
      <c r="H24" s="60">
        <f t="shared" si="2"/>
        <v>0</v>
      </c>
      <c r="I24" s="60"/>
      <c r="J24" s="375">
        <f t="shared" si="3"/>
        <v>4840</v>
      </c>
      <c r="K24" s="115" t="s">
        <v>474</v>
      </c>
      <c r="M24" s="372"/>
      <c r="N24" s="115"/>
      <c r="P24" s="115"/>
      <c r="Q24" s="114"/>
    </row>
    <row r="25" spans="1:17" ht="12.75">
      <c r="A25" s="372">
        <v>44679</v>
      </c>
      <c r="B25" s="372">
        <v>44679</v>
      </c>
      <c r="C25" s="115" t="s">
        <v>167</v>
      </c>
      <c r="D25" s="115" t="s">
        <v>166</v>
      </c>
      <c r="E25" s="115" t="s">
        <v>498</v>
      </c>
      <c r="F25" s="60">
        <v>26289.93</v>
      </c>
      <c r="G25" s="373">
        <v>21</v>
      </c>
      <c r="H25" s="60">
        <f t="shared" si="2"/>
        <v>5520.8852999999999</v>
      </c>
      <c r="I25" s="60">
        <f>33312.12-(F25+H25)</f>
        <v>1501.3047000000006</v>
      </c>
      <c r="J25" s="375">
        <f t="shared" si="3"/>
        <v>33312.120000000003</v>
      </c>
      <c r="K25" s="115" t="s">
        <v>474</v>
      </c>
      <c r="M25" s="372"/>
      <c r="N25" s="115"/>
      <c r="P25" s="115"/>
      <c r="Q25" s="114"/>
    </row>
    <row r="26" spans="1:17" ht="12.75">
      <c r="A26" s="372">
        <v>44681</v>
      </c>
      <c r="B26" s="372">
        <v>44681</v>
      </c>
      <c r="C26" s="115" t="s">
        <v>167</v>
      </c>
      <c r="D26" s="115" t="s">
        <v>166</v>
      </c>
      <c r="E26" s="115" t="s">
        <v>499</v>
      </c>
      <c r="F26" s="60">
        <v>2268.61</v>
      </c>
      <c r="G26" s="373">
        <v>0</v>
      </c>
      <c r="H26" s="60">
        <f t="shared" si="2"/>
        <v>0</v>
      </c>
      <c r="I26" s="60"/>
      <c r="J26" s="375">
        <f t="shared" si="3"/>
        <v>2268.61</v>
      </c>
      <c r="K26" s="115" t="s">
        <v>474</v>
      </c>
    </row>
    <row r="27" spans="1:17" ht="12.75">
      <c r="A27" s="372">
        <v>44681</v>
      </c>
      <c r="B27" s="372">
        <v>44681</v>
      </c>
      <c r="C27" s="115" t="s">
        <v>167</v>
      </c>
      <c r="D27" s="115" t="s">
        <v>168</v>
      </c>
      <c r="E27" s="115" t="s">
        <v>500</v>
      </c>
      <c r="F27" s="60">
        <v>2191.14</v>
      </c>
      <c r="G27" s="373">
        <v>21</v>
      </c>
      <c r="H27" s="60">
        <f t="shared" si="2"/>
        <v>460.13939999999997</v>
      </c>
      <c r="I27" s="60">
        <v>8347.5499999999993</v>
      </c>
      <c r="J27" s="375">
        <f t="shared" si="3"/>
        <v>10998.829399999999</v>
      </c>
      <c r="K27" s="115" t="s">
        <v>474</v>
      </c>
    </row>
    <row r="28" spans="1:17" ht="15.75" customHeight="1">
      <c r="A28" s="372"/>
      <c r="B28" s="372"/>
      <c r="C28" s="115"/>
      <c r="D28" s="115"/>
      <c r="E28" s="115"/>
      <c r="F28" s="60"/>
      <c r="G28" s="373">
        <v>0</v>
      </c>
      <c r="H28" s="60">
        <f t="shared" si="2"/>
        <v>0</v>
      </c>
      <c r="I28" s="60"/>
      <c r="J28" s="219">
        <f>SUM(J4:J27)</f>
        <v>442188.26039999997</v>
      </c>
      <c r="K28" s="115"/>
    </row>
    <row r="29" spans="1:17" ht="12.75">
      <c r="A29" s="372"/>
      <c r="B29" s="372"/>
      <c r="C29" s="115"/>
      <c r="D29" s="115"/>
      <c r="E29" s="115"/>
      <c r="F29" s="60"/>
      <c r="G29" s="373">
        <v>0</v>
      </c>
      <c r="H29" s="60">
        <f t="shared" si="2"/>
        <v>0</v>
      </c>
      <c r="I29" s="60"/>
      <c r="J29" s="60">
        <f t="shared" ref="J29:J30" si="4">F29+H29+I29</f>
        <v>0</v>
      </c>
      <c r="K29" s="115"/>
    </row>
    <row r="30" spans="1:17" ht="12.75">
      <c r="A30" s="372"/>
      <c r="B30" s="372"/>
      <c r="C30" s="115"/>
      <c r="D30" s="115"/>
      <c r="E30" s="115"/>
      <c r="F30" s="60"/>
      <c r="G30" s="373">
        <v>0</v>
      </c>
      <c r="H30" s="60">
        <f t="shared" si="2"/>
        <v>0</v>
      </c>
      <c r="I30" s="60"/>
      <c r="J30" s="60">
        <f t="shared" si="4"/>
        <v>0</v>
      </c>
      <c r="K30" s="115"/>
    </row>
    <row r="31" spans="1:17" ht="12.75">
      <c r="A31" s="372"/>
      <c r="B31" s="372"/>
      <c r="C31" s="115"/>
      <c r="D31" s="115"/>
      <c r="E31" s="115"/>
      <c r="F31" s="60"/>
      <c r="G31" s="373">
        <v>0</v>
      </c>
      <c r="H31" s="60">
        <f t="shared" si="2"/>
        <v>0</v>
      </c>
      <c r="I31" s="60"/>
      <c r="J31" s="60">
        <f>J28*1.3</f>
        <v>574844.73852000001</v>
      </c>
      <c r="K31" s="115"/>
    </row>
    <row r="32" spans="1:17" ht="12.75">
      <c r="A32" s="372"/>
      <c r="B32" s="372"/>
      <c r="C32" s="115"/>
      <c r="D32" s="115"/>
      <c r="E32" s="115"/>
      <c r="F32" s="60"/>
      <c r="G32" s="373">
        <v>0</v>
      </c>
      <c r="H32" s="60">
        <f t="shared" si="2"/>
        <v>0</v>
      </c>
      <c r="I32" s="60"/>
      <c r="J32" s="60">
        <f>J31-J28</f>
        <v>132656.47812000004</v>
      </c>
      <c r="K32" s="60">
        <f>J32*66%</f>
        <v>87553.275559200032</v>
      </c>
    </row>
    <row r="33" spans="1:11" ht="12.75">
      <c r="A33" s="372"/>
      <c r="B33" s="372"/>
      <c r="C33" s="115"/>
      <c r="D33" s="115"/>
      <c r="E33" s="115"/>
      <c r="F33" s="60"/>
      <c r="G33" s="373">
        <v>0</v>
      </c>
      <c r="H33" s="60">
        <f t="shared" si="2"/>
        <v>0</v>
      </c>
      <c r="I33" s="60"/>
      <c r="J33" s="60">
        <f t="shared" ref="J33:J42" si="5">F33+H33+I33</f>
        <v>0</v>
      </c>
      <c r="K33" s="60">
        <f>J32*33%</f>
        <v>43776.637779600016</v>
      </c>
    </row>
    <row r="34" spans="1:11" ht="12.75">
      <c r="A34" s="372"/>
      <c r="B34" s="372"/>
      <c r="C34" s="115"/>
      <c r="D34" s="115"/>
      <c r="E34" s="115"/>
      <c r="F34" s="60"/>
      <c r="G34" s="373">
        <v>0</v>
      </c>
      <c r="H34" s="60">
        <f t="shared" si="2"/>
        <v>0</v>
      </c>
      <c r="I34" s="60"/>
      <c r="J34" s="60">
        <f t="shared" si="5"/>
        <v>0</v>
      </c>
      <c r="K34" s="115"/>
    </row>
    <row r="35" spans="1:11" ht="12.75">
      <c r="A35" s="372"/>
      <c r="B35" s="372"/>
      <c r="C35" s="115"/>
      <c r="D35" s="115"/>
      <c r="E35" s="115"/>
      <c r="F35" s="60"/>
      <c r="G35" s="373">
        <v>0</v>
      </c>
      <c r="H35" s="60">
        <f t="shared" si="2"/>
        <v>0</v>
      </c>
      <c r="I35" s="60"/>
      <c r="J35" s="60">
        <f t="shared" si="5"/>
        <v>0</v>
      </c>
      <c r="K35" s="115"/>
    </row>
    <row r="36" spans="1:11" ht="12.75">
      <c r="A36" s="372"/>
      <c r="B36" s="372"/>
      <c r="C36" s="115"/>
      <c r="D36" s="115"/>
      <c r="E36" s="115"/>
      <c r="F36" s="60"/>
      <c r="G36" s="373">
        <v>0</v>
      </c>
      <c r="H36" s="60">
        <f t="shared" si="2"/>
        <v>0</v>
      </c>
      <c r="I36" s="60"/>
      <c r="J36" s="60">
        <f t="shared" si="5"/>
        <v>0</v>
      </c>
      <c r="K36" s="115"/>
    </row>
    <row r="37" spans="1:11" ht="12.75">
      <c r="A37" s="372"/>
      <c r="B37" s="372"/>
      <c r="C37" s="115"/>
      <c r="D37" s="115"/>
      <c r="E37" s="115"/>
      <c r="F37" s="60"/>
      <c r="G37" s="373">
        <v>0</v>
      </c>
      <c r="H37" s="60">
        <f t="shared" si="2"/>
        <v>0</v>
      </c>
      <c r="I37" s="60"/>
      <c r="J37" s="60">
        <f t="shared" si="5"/>
        <v>0</v>
      </c>
      <c r="K37" s="115"/>
    </row>
    <row r="38" spans="1:11" ht="12.75">
      <c r="A38" s="372"/>
      <c r="B38" s="372"/>
      <c r="C38" s="115"/>
      <c r="D38" s="115"/>
      <c r="E38" s="115"/>
      <c r="F38" s="60"/>
      <c r="G38" s="373">
        <v>0</v>
      </c>
      <c r="H38" s="60">
        <f t="shared" si="2"/>
        <v>0</v>
      </c>
      <c r="I38" s="60"/>
      <c r="J38" s="60">
        <f t="shared" si="5"/>
        <v>0</v>
      </c>
      <c r="K38" s="115"/>
    </row>
    <row r="39" spans="1:11" ht="12.75">
      <c r="A39" s="372"/>
      <c r="B39" s="372"/>
      <c r="C39" s="115"/>
      <c r="D39" s="115"/>
      <c r="E39" s="115"/>
      <c r="F39" s="60"/>
      <c r="G39" s="373">
        <v>0</v>
      </c>
      <c r="H39" s="60">
        <f t="shared" si="2"/>
        <v>0</v>
      </c>
      <c r="I39" s="60"/>
      <c r="J39" s="60">
        <f t="shared" si="5"/>
        <v>0</v>
      </c>
      <c r="K39" s="115"/>
    </row>
    <row r="40" spans="1:11" ht="12.75">
      <c r="A40" s="372"/>
      <c r="B40" s="372"/>
      <c r="C40" s="115"/>
      <c r="D40" s="115"/>
      <c r="E40" s="115"/>
      <c r="F40" s="60"/>
      <c r="G40" s="373">
        <v>0</v>
      </c>
      <c r="H40" s="60">
        <f t="shared" si="2"/>
        <v>0</v>
      </c>
      <c r="I40" s="60"/>
      <c r="J40" s="60">
        <f t="shared" si="5"/>
        <v>0</v>
      </c>
      <c r="K40" s="115"/>
    </row>
    <row r="41" spans="1:11" ht="12.75">
      <c r="A41" s="372"/>
      <c r="B41" s="372"/>
      <c r="C41" s="115"/>
      <c r="D41" s="115"/>
      <c r="E41" s="115"/>
      <c r="F41" s="60"/>
      <c r="G41" s="373">
        <v>0</v>
      </c>
      <c r="H41" s="60">
        <f t="shared" si="2"/>
        <v>0</v>
      </c>
      <c r="I41" s="60"/>
      <c r="J41" s="60">
        <f t="shared" si="5"/>
        <v>0</v>
      </c>
      <c r="K41" s="115"/>
    </row>
    <row r="42" spans="1:11" ht="12.75">
      <c r="A42" s="372"/>
      <c r="B42" s="372"/>
      <c r="C42" s="115"/>
      <c r="D42" s="115"/>
      <c r="E42" s="115"/>
      <c r="F42" s="60"/>
      <c r="G42" s="373">
        <v>0</v>
      </c>
      <c r="H42" s="60">
        <f t="shared" si="2"/>
        <v>0</v>
      </c>
      <c r="I42" s="60"/>
      <c r="J42" s="60">
        <f t="shared" si="5"/>
        <v>0</v>
      </c>
      <c r="K42" s="115"/>
    </row>
    <row r="43" spans="1:11" ht="12.75">
      <c r="A43" s="372"/>
      <c r="B43" s="372"/>
      <c r="C43" s="115"/>
      <c r="D43" s="115"/>
      <c r="E43" s="115"/>
      <c r="F43" s="60"/>
      <c r="G43" s="373"/>
      <c r="H43" s="60"/>
      <c r="I43" s="60"/>
      <c r="J43" s="60"/>
      <c r="K43" s="115"/>
    </row>
    <row r="44" spans="1:11" ht="12.75">
      <c r="A44" s="372"/>
      <c r="B44" s="372"/>
      <c r="C44" s="115"/>
      <c r="D44" s="115"/>
      <c r="E44" s="115"/>
      <c r="F44" s="60"/>
      <c r="G44" s="373"/>
      <c r="H44" s="60"/>
      <c r="I44" s="60"/>
      <c r="J44" s="60"/>
      <c r="K44" s="115"/>
    </row>
    <row r="45" spans="1:11" ht="12.75">
      <c r="A45" s="372"/>
      <c r="B45" s="372"/>
      <c r="C45" s="115"/>
      <c r="D45" s="115"/>
      <c r="E45" s="115"/>
      <c r="F45" s="60"/>
      <c r="G45" s="373"/>
      <c r="H45" s="60"/>
      <c r="I45" s="60"/>
      <c r="J45" s="60"/>
      <c r="K45" s="115"/>
    </row>
    <row r="46" spans="1:11" ht="12.75">
      <c r="A46" s="372"/>
      <c r="B46" s="372"/>
      <c r="C46" s="115"/>
      <c r="D46" s="115"/>
      <c r="E46" s="115"/>
      <c r="F46" s="60"/>
      <c r="G46" s="373"/>
      <c r="H46" s="60"/>
      <c r="I46" s="60"/>
      <c r="J46" s="60"/>
      <c r="K46" s="115"/>
    </row>
    <row r="47" spans="1:11" ht="12.75">
      <c r="A47" s="372"/>
      <c r="B47" s="372"/>
      <c r="C47" s="115"/>
      <c r="D47" s="115"/>
      <c r="E47" s="115"/>
      <c r="F47" s="60"/>
      <c r="G47" s="373"/>
      <c r="H47" s="60"/>
      <c r="I47" s="60"/>
      <c r="J47" s="60"/>
      <c r="K47" s="115"/>
    </row>
    <row r="48" spans="1:11" ht="12.75">
      <c r="A48" s="372"/>
      <c r="B48" s="372"/>
      <c r="C48" s="115"/>
      <c r="D48" s="115"/>
      <c r="E48" s="115"/>
      <c r="F48" s="60"/>
      <c r="G48" s="373"/>
      <c r="H48" s="60"/>
      <c r="I48" s="60"/>
      <c r="J48" s="60"/>
      <c r="K48" s="115"/>
    </row>
    <row r="49" spans="1:11" ht="12.75">
      <c r="A49" s="372"/>
      <c r="B49" s="372"/>
      <c r="C49" s="115"/>
      <c r="D49" s="115"/>
      <c r="E49" s="115"/>
      <c r="F49" s="60"/>
      <c r="G49" s="373"/>
      <c r="H49" s="60"/>
      <c r="I49" s="60"/>
      <c r="J49" s="60"/>
      <c r="K49" s="115"/>
    </row>
    <row r="50" spans="1:11" ht="12.75">
      <c r="A50" s="372"/>
      <c r="B50" s="372"/>
      <c r="C50" s="115"/>
      <c r="D50" s="115"/>
      <c r="E50" s="115"/>
      <c r="F50" s="60"/>
      <c r="G50" s="373"/>
      <c r="H50" s="60"/>
      <c r="I50" s="60"/>
      <c r="J50" s="60"/>
      <c r="K50" s="115"/>
    </row>
    <row r="51" spans="1:11" ht="12.75">
      <c r="A51" s="372"/>
      <c r="B51" s="372"/>
      <c r="C51" s="115"/>
      <c r="D51" s="115"/>
      <c r="E51" s="115"/>
      <c r="F51" s="60"/>
      <c r="G51" s="373"/>
      <c r="H51" s="60"/>
      <c r="I51" s="60"/>
      <c r="J51" s="60"/>
      <c r="K51" s="115"/>
    </row>
    <row r="52" spans="1:11" ht="12.75">
      <c r="A52" s="372"/>
      <c r="B52" s="372"/>
      <c r="C52" s="115"/>
      <c r="D52" s="115"/>
      <c r="E52" s="115"/>
      <c r="F52" s="60"/>
      <c r="G52" s="373"/>
      <c r="H52" s="60"/>
      <c r="I52" s="60"/>
      <c r="J52" s="60"/>
      <c r="K52" s="115"/>
    </row>
    <row r="53" spans="1:11" ht="12.75">
      <c r="A53" s="372"/>
      <c r="B53" s="372"/>
      <c r="C53" s="115"/>
      <c r="D53" s="115"/>
      <c r="E53" s="115"/>
      <c r="F53" s="60"/>
      <c r="G53" s="373"/>
      <c r="H53" s="60"/>
      <c r="I53" s="60"/>
      <c r="J53" s="60"/>
      <c r="K53" s="115"/>
    </row>
    <row r="54" spans="1:11" ht="12.75">
      <c r="A54" s="372"/>
      <c r="B54" s="372"/>
      <c r="C54" s="115"/>
      <c r="D54" s="115"/>
      <c r="E54" s="115"/>
      <c r="F54" s="60"/>
      <c r="G54" s="373"/>
      <c r="H54" s="60"/>
      <c r="I54" s="60"/>
      <c r="J54" s="60"/>
      <c r="K54" s="115"/>
    </row>
    <row r="55" spans="1:11" ht="12.75">
      <c r="A55" s="372"/>
      <c r="B55" s="372"/>
      <c r="C55" s="115"/>
      <c r="D55" s="115"/>
      <c r="E55" s="115"/>
      <c r="F55" s="60"/>
      <c r="G55" s="373"/>
      <c r="H55" s="60"/>
      <c r="I55" s="60"/>
      <c r="J55" s="60"/>
      <c r="K55" s="115"/>
    </row>
    <row r="56" spans="1:11" ht="12.75">
      <c r="A56" s="372"/>
      <c r="B56" s="372"/>
      <c r="C56" s="115"/>
      <c r="D56" s="115"/>
      <c r="E56" s="115"/>
      <c r="F56" s="60"/>
      <c r="G56" s="373"/>
      <c r="H56" s="60"/>
      <c r="I56" s="60"/>
      <c r="J56" s="60"/>
      <c r="K56" s="115"/>
    </row>
    <row r="57" spans="1:11" ht="12.75">
      <c r="A57" s="372"/>
      <c r="B57" s="372"/>
      <c r="C57" s="115"/>
      <c r="D57" s="115"/>
      <c r="E57" s="115"/>
      <c r="F57" s="60"/>
      <c r="G57" s="373"/>
      <c r="H57" s="60"/>
      <c r="I57" s="60"/>
      <c r="J57" s="60"/>
      <c r="K57" s="115"/>
    </row>
    <row r="58" spans="1:11" ht="12.75">
      <c r="A58" s="372"/>
      <c r="B58" s="372"/>
      <c r="C58" s="115"/>
      <c r="D58" s="115"/>
      <c r="E58" s="115"/>
      <c r="F58" s="60"/>
      <c r="G58" s="373"/>
      <c r="H58" s="60"/>
      <c r="I58" s="60"/>
      <c r="J58" s="60"/>
      <c r="K58" s="115"/>
    </row>
    <row r="59" spans="1:11" ht="12.75">
      <c r="A59" s="372"/>
      <c r="B59" s="372"/>
      <c r="C59" s="115"/>
      <c r="D59" s="115"/>
      <c r="E59" s="115"/>
      <c r="F59" s="60"/>
      <c r="G59" s="373"/>
      <c r="H59" s="60"/>
      <c r="I59" s="60"/>
      <c r="J59" s="60"/>
      <c r="K59" s="115"/>
    </row>
    <row r="60" spans="1:11" ht="12.75">
      <c r="A60" s="372"/>
      <c r="B60" s="372"/>
      <c r="C60" s="115"/>
      <c r="D60" s="115"/>
      <c r="E60" s="115"/>
      <c r="F60" s="60"/>
      <c r="G60" s="373"/>
      <c r="H60" s="60"/>
      <c r="I60" s="60"/>
      <c r="J60" s="60"/>
      <c r="K60" s="115"/>
    </row>
    <row r="61" spans="1:11" ht="12.75">
      <c r="A61" s="372"/>
      <c r="B61" s="372"/>
      <c r="C61" s="115"/>
      <c r="D61" s="115"/>
      <c r="E61" s="115"/>
      <c r="F61" s="60"/>
      <c r="G61" s="373"/>
      <c r="H61" s="60"/>
      <c r="I61" s="60"/>
      <c r="J61" s="60"/>
      <c r="K61" s="115"/>
    </row>
    <row r="62" spans="1:11" ht="12.75">
      <c r="A62" s="372"/>
      <c r="B62" s="372"/>
      <c r="C62" s="115"/>
      <c r="D62" s="115"/>
      <c r="E62" s="115"/>
      <c r="F62" s="60"/>
      <c r="G62" s="373"/>
      <c r="H62" s="60"/>
      <c r="I62" s="60"/>
      <c r="J62" s="60"/>
      <c r="K62" s="115"/>
    </row>
    <row r="63" spans="1:11" ht="12.75">
      <c r="A63" s="372"/>
      <c r="B63" s="372"/>
      <c r="C63" s="115"/>
      <c r="D63" s="115"/>
      <c r="E63" s="115"/>
      <c r="F63" s="60"/>
      <c r="G63" s="373"/>
      <c r="H63" s="60"/>
      <c r="I63" s="60"/>
      <c r="J63" s="60"/>
      <c r="K63" s="115"/>
    </row>
    <row r="64" spans="1:11" ht="12.75">
      <c r="A64" s="372"/>
      <c r="B64" s="372"/>
      <c r="C64" s="115"/>
      <c r="D64" s="115"/>
      <c r="E64" s="115"/>
      <c r="F64" s="60"/>
      <c r="G64" s="373"/>
      <c r="H64" s="60"/>
      <c r="I64" s="60"/>
      <c r="J64" s="60"/>
      <c r="K64" s="115"/>
    </row>
    <row r="65" spans="1:11" ht="12.75">
      <c r="A65" s="372"/>
      <c r="B65" s="372"/>
      <c r="C65" s="115"/>
      <c r="D65" s="115"/>
      <c r="E65" s="115"/>
      <c r="F65" s="60"/>
      <c r="G65" s="373"/>
      <c r="H65" s="60"/>
      <c r="I65" s="60"/>
      <c r="J65" s="60"/>
      <c r="K65" s="115"/>
    </row>
    <row r="66" spans="1:11" ht="12.75">
      <c r="A66" s="372"/>
      <c r="B66" s="372"/>
      <c r="C66" s="115"/>
      <c r="D66" s="115"/>
      <c r="E66" s="115"/>
      <c r="F66" s="60"/>
      <c r="G66" s="373"/>
      <c r="H66" s="60"/>
      <c r="I66" s="60"/>
      <c r="J66" s="60"/>
      <c r="K66" s="115"/>
    </row>
    <row r="67" spans="1:11" ht="12.75">
      <c r="A67" s="372"/>
      <c r="B67" s="372"/>
      <c r="C67" s="115"/>
      <c r="D67" s="115"/>
      <c r="E67" s="115"/>
      <c r="F67" s="60"/>
      <c r="G67" s="373"/>
      <c r="H67" s="60"/>
      <c r="I67" s="60"/>
      <c r="J67" s="60"/>
      <c r="K67" s="115"/>
    </row>
    <row r="68" spans="1:11" ht="12.75">
      <c r="A68" s="372"/>
      <c r="B68" s="372"/>
      <c r="C68" s="115"/>
      <c r="D68" s="115"/>
      <c r="E68" s="115"/>
      <c r="F68" s="60"/>
      <c r="G68" s="373"/>
      <c r="H68" s="60"/>
      <c r="I68" s="60"/>
      <c r="J68" s="60"/>
      <c r="K68" s="115"/>
    </row>
    <row r="69" spans="1:11" ht="12.75">
      <c r="A69" s="372"/>
      <c r="B69" s="372"/>
      <c r="C69" s="115"/>
      <c r="D69" s="115"/>
      <c r="E69" s="115"/>
      <c r="F69" s="60"/>
      <c r="G69" s="373"/>
      <c r="H69" s="60"/>
      <c r="I69" s="60"/>
      <c r="J69" s="60"/>
      <c r="K69" s="115"/>
    </row>
    <row r="70" spans="1:11" ht="12.75">
      <c r="A70" s="372"/>
      <c r="B70" s="372"/>
      <c r="C70" s="115"/>
      <c r="D70" s="115"/>
      <c r="E70" s="115"/>
      <c r="F70" s="60"/>
      <c r="G70" s="373"/>
      <c r="H70" s="60"/>
      <c r="I70" s="60"/>
      <c r="J70" s="60"/>
      <c r="K70" s="115"/>
    </row>
    <row r="71" spans="1:11" ht="12.75">
      <c r="A71" s="372"/>
      <c r="B71" s="372"/>
      <c r="C71" s="115"/>
      <c r="D71" s="115"/>
      <c r="E71" s="115"/>
      <c r="F71" s="60"/>
      <c r="G71" s="373"/>
      <c r="H71" s="60"/>
      <c r="I71" s="60"/>
      <c r="J71" s="60"/>
      <c r="K71" s="115"/>
    </row>
    <row r="72" spans="1:11" ht="12.75">
      <c r="A72" s="372"/>
      <c r="B72" s="372"/>
      <c r="C72" s="115"/>
      <c r="D72" s="115"/>
      <c r="E72" s="115"/>
      <c r="F72" s="60"/>
      <c r="G72" s="373"/>
      <c r="H72" s="60"/>
      <c r="I72" s="60"/>
      <c r="J72" s="60"/>
      <c r="K72" s="115"/>
    </row>
    <row r="73" spans="1:11" ht="12.75">
      <c r="A73" s="372"/>
      <c r="B73" s="372"/>
      <c r="C73" s="115"/>
      <c r="D73" s="115"/>
      <c r="E73" s="115"/>
      <c r="F73" s="60"/>
      <c r="G73" s="373"/>
      <c r="H73" s="60"/>
      <c r="I73" s="60"/>
      <c r="J73" s="60"/>
      <c r="K73" s="115"/>
    </row>
    <row r="74" spans="1:11" ht="12.75">
      <c r="A74" s="372"/>
      <c r="B74" s="372"/>
      <c r="C74" s="115"/>
      <c r="D74" s="115"/>
      <c r="E74" s="115"/>
      <c r="F74" s="60"/>
      <c r="G74" s="373"/>
      <c r="H74" s="60"/>
      <c r="I74" s="60"/>
      <c r="J74" s="60"/>
      <c r="K74" s="115"/>
    </row>
    <row r="75" spans="1:11" ht="12.75">
      <c r="A75" s="372"/>
      <c r="B75" s="372"/>
      <c r="C75" s="115"/>
      <c r="D75" s="115"/>
      <c r="E75" s="115"/>
      <c r="F75" s="60"/>
      <c r="G75" s="373"/>
      <c r="H75" s="60"/>
      <c r="I75" s="60"/>
      <c r="J75" s="60"/>
      <c r="K75" s="115"/>
    </row>
    <row r="76" spans="1:11" ht="12.75">
      <c r="A76" s="372"/>
      <c r="B76" s="372"/>
      <c r="C76" s="115"/>
      <c r="D76" s="115"/>
      <c r="E76" s="115"/>
      <c r="F76" s="60"/>
      <c r="G76" s="373"/>
      <c r="H76" s="60"/>
      <c r="I76" s="60"/>
      <c r="J76" s="60"/>
      <c r="K76" s="115"/>
    </row>
    <row r="77" spans="1:11" ht="12.75">
      <c r="A77" s="372"/>
      <c r="B77" s="372"/>
      <c r="C77" s="115"/>
      <c r="D77" s="115"/>
      <c r="E77" s="115"/>
      <c r="F77" s="60"/>
      <c r="G77" s="373"/>
      <c r="H77" s="60"/>
      <c r="I77" s="60"/>
      <c r="J77" s="60"/>
      <c r="K77" s="115"/>
    </row>
    <row r="78" spans="1:11" ht="12.75">
      <c r="A78" s="372"/>
      <c r="B78" s="372"/>
      <c r="C78" s="115"/>
      <c r="D78" s="115"/>
      <c r="E78" s="115"/>
      <c r="F78" s="60"/>
      <c r="G78" s="373"/>
      <c r="H78" s="60"/>
      <c r="I78" s="60"/>
      <c r="J78" s="60"/>
      <c r="K78" s="115"/>
    </row>
    <row r="79" spans="1:11" ht="12.75">
      <c r="A79" s="372"/>
      <c r="B79" s="372"/>
      <c r="C79" s="115"/>
      <c r="D79" s="115"/>
      <c r="E79" s="115"/>
      <c r="F79" s="60"/>
      <c r="G79" s="373"/>
      <c r="H79" s="60"/>
      <c r="I79" s="60"/>
      <c r="J79" s="60"/>
      <c r="K79" s="115"/>
    </row>
    <row r="80" spans="1:11" ht="12.75">
      <c r="A80" s="372"/>
      <c r="B80" s="372"/>
      <c r="C80" s="115"/>
      <c r="D80" s="115"/>
      <c r="E80" s="115"/>
      <c r="F80" s="60"/>
      <c r="G80" s="373"/>
      <c r="H80" s="60"/>
      <c r="I80" s="60"/>
      <c r="J80" s="60"/>
      <c r="K80" s="115"/>
    </row>
    <row r="81" spans="1:11" ht="12.75">
      <c r="A81" s="372"/>
      <c r="B81" s="372"/>
      <c r="C81" s="115"/>
      <c r="D81" s="115"/>
      <c r="E81" s="115"/>
      <c r="F81" s="60"/>
      <c r="G81" s="373"/>
      <c r="H81" s="60"/>
      <c r="I81" s="60"/>
      <c r="J81" s="60"/>
      <c r="K81" s="115"/>
    </row>
    <row r="82" spans="1:11" ht="12.75">
      <c r="A82" s="372"/>
      <c r="B82" s="372"/>
      <c r="C82" s="115"/>
      <c r="D82" s="115"/>
      <c r="E82" s="115"/>
      <c r="F82" s="60"/>
      <c r="G82" s="373"/>
      <c r="H82" s="60"/>
      <c r="I82" s="60"/>
      <c r="J82" s="60"/>
      <c r="K82" s="115"/>
    </row>
    <row r="83" spans="1:11" ht="12.75">
      <c r="A83" s="372"/>
      <c r="B83" s="372"/>
      <c r="C83" s="115"/>
      <c r="D83" s="115"/>
      <c r="E83" s="115"/>
      <c r="F83" s="60"/>
      <c r="G83" s="373"/>
      <c r="H83" s="60"/>
      <c r="I83" s="60"/>
      <c r="J83" s="60"/>
      <c r="K83" s="115"/>
    </row>
    <row r="84" spans="1:11" ht="12.75">
      <c r="A84" s="372"/>
      <c r="B84" s="372"/>
      <c r="C84" s="115"/>
      <c r="D84" s="115"/>
      <c r="E84" s="115"/>
      <c r="F84" s="60"/>
      <c r="G84" s="373"/>
      <c r="H84" s="60"/>
      <c r="I84" s="60"/>
      <c r="J84" s="60"/>
      <c r="K84" s="115"/>
    </row>
    <row r="85" spans="1:11" ht="12.75">
      <c r="A85" s="372"/>
      <c r="B85" s="372"/>
      <c r="C85" s="115"/>
      <c r="D85" s="115"/>
      <c r="E85" s="115"/>
      <c r="F85" s="60"/>
      <c r="G85" s="373"/>
      <c r="H85" s="60"/>
      <c r="I85" s="60"/>
      <c r="J85" s="60"/>
      <c r="K85" s="115"/>
    </row>
    <row r="86" spans="1:11" ht="12.75">
      <c r="A86" s="372"/>
      <c r="B86" s="372"/>
      <c r="C86" s="115"/>
      <c r="D86" s="115"/>
      <c r="E86" s="115"/>
      <c r="F86" s="60"/>
      <c r="G86" s="373"/>
      <c r="H86" s="60"/>
      <c r="I86" s="60"/>
      <c r="J86" s="60"/>
      <c r="K86" s="115"/>
    </row>
    <row r="87" spans="1:11" ht="12.75">
      <c r="A87" s="372"/>
      <c r="B87" s="372"/>
      <c r="C87" s="115"/>
      <c r="D87" s="115"/>
      <c r="E87" s="115"/>
      <c r="F87" s="60"/>
      <c r="G87" s="373"/>
      <c r="H87" s="60"/>
      <c r="I87" s="60"/>
      <c r="J87" s="60"/>
      <c r="K87" s="115"/>
    </row>
    <row r="88" spans="1:11" ht="12.75">
      <c r="A88" s="372"/>
      <c r="B88" s="372"/>
      <c r="C88" s="115"/>
      <c r="D88" s="115"/>
      <c r="E88" s="115"/>
      <c r="F88" s="60"/>
      <c r="G88" s="373"/>
      <c r="H88" s="60"/>
      <c r="I88" s="60"/>
      <c r="J88" s="60"/>
      <c r="K88" s="115"/>
    </row>
    <row r="89" spans="1:11" ht="12.75">
      <c r="A89" s="372"/>
      <c r="B89" s="372"/>
      <c r="C89" s="115"/>
      <c r="D89" s="115"/>
      <c r="E89" s="115"/>
      <c r="F89" s="60"/>
      <c r="G89" s="373"/>
      <c r="H89" s="60"/>
      <c r="I89" s="60"/>
      <c r="J89" s="60"/>
      <c r="K89" s="115"/>
    </row>
    <row r="90" spans="1:11" ht="12.75">
      <c r="A90" s="372"/>
      <c r="B90" s="372"/>
      <c r="C90" s="115"/>
      <c r="D90" s="115"/>
      <c r="E90" s="115"/>
      <c r="F90" s="60"/>
      <c r="G90" s="373"/>
      <c r="H90" s="60"/>
      <c r="I90" s="60"/>
      <c r="J90" s="60"/>
      <c r="K90" s="115"/>
    </row>
    <row r="91" spans="1:11" ht="12.75">
      <c r="A91" s="372"/>
      <c r="B91" s="372"/>
      <c r="C91" s="115"/>
      <c r="D91" s="115"/>
      <c r="E91" s="115"/>
      <c r="F91" s="60"/>
      <c r="G91" s="373"/>
      <c r="H91" s="60"/>
      <c r="I91" s="60"/>
      <c r="J91" s="60"/>
      <c r="K91" s="115"/>
    </row>
    <row r="92" spans="1:11" ht="12.75">
      <c r="A92" s="372"/>
      <c r="B92" s="372"/>
      <c r="C92" s="115"/>
      <c r="D92" s="115"/>
      <c r="E92" s="115"/>
      <c r="F92" s="60"/>
      <c r="G92" s="373"/>
      <c r="H92" s="60"/>
      <c r="I92" s="60"/>
      <c r="J92" s="60"/>
      <c r="K92" s="115"/>
    </row>
    <row r="93" spans="1:11" ht="12.75">
      <c r="A93" s="372"/>
      <c r="B93" s="372"/>
      <c r="C93" s="115"/>
      <c r="D93" s="115"/>
      <c r="E93" s="115"/>
      <c r="F93" s="60"/>
      <c r="G93" s="373"/>
      <c r="H93" s="60"/>
      <c r="I93" s="60"/>
      <c r="J93" s="60"/>
      <c r="K93" s="115"/>
    </row>
    <row r="94" spans="1:11" ht="12.75">
      <c r="A94" s="372"/>
      <c r="B94" s="372"/>
      <c r="C94" s="115"/>
      <c r="D94" s="115"/>
      <c r="E94" s="115"/>
      <c r="F94" s="60"/>
      <c r="G94" s="373"/>
      <c r="H94" s="60"/>
      <c r="I94" s="60"/>
      <c r="J94" s="60"/>
      <c r="K94" s="115"/>
    </row>
    <row r="95" spans="1:11" ht="12.75">
      <c r="A95" s="372"/>
      <c r="B95" s="372"/>
      <c r="C95" s="115"/>
      <c r="D95" s="115"/>
      <c r="E95" s="115"/>
      <c r="F95" s="60"/>
      <c r="G95" s="373"/>
      <c r="H95" s="60"/>
      <c r="I95" s="60"/>
      <c r="J95" s="60"/>
      <c r="K95" s="115"/>
    </row>
    <row r="96" spans="1:11" ht="12.75">
      <c r="A96" s="372"/>
      <c r="B96" s="372"/>
      <c r="C96" s="115"/>
      <c r="D96" s="115"/>
      <c r="E96" s="115"/>
      <c r="F96" s="60"/>
      <c r="G96" s="373"/>
      <c r="H96" s="60"/>
      <c r="I96" s="60"/>
      <c r="J96" s="60"/>
      <c r="K96" s="115"/>
    </row>
    <row r="97" spans="1:11" ht="12.75">
      <c r="A97" s="372"/>
      <c r="B97" s="372"/>
      <c r="C97" s="115"/>
      <c r="D97" s="115"/>
      <c r="E97" s="115"/>
      <c r="F97" s="60"/>
      <c r="G97" s="373"/>
      <c r="H97" s="60"/>
      <c r="I97" s="60"/>
      <c r="J97" s="60"/>
      <c r="K97" s="115"/>
    </row>
    <row r="98" spans="1:11" ht="12.75">
      <c r="A98" s="372"/>
      <c r="B98" s="372"/>
      <c r="C98" s="115"/>
      <c r="D98" s="115"/>
      <c r="E98" s="115"/>
      <c r="F98" s="60"/>
      <c r="G98" s="373"/>
      <c r="H98" s="60"/>
      <c r="I98" s="60"/>
      <c r="J98" s="60"/>
      <c r="K98" s="115"/>
    </row>
    <row r="99" spans="1:11" ht="12.75">
      <c r="A99" s="372"/>
      <c r="B99" s="372"/>
      <c r="C99" s="115"/>
      <c r="D99" s="115"/>
      <c r="E99" s="115"/>
      <c r="F99" s="60"/>
      <c r="G99" s="373"/>
      <c r="H99" s="60"/>
      <c r="I99" s="60"/>
      <c r="J99" s="60"/>
      <c r="K99" s="115"/>
    </row>
    <row r="100" spans="1:11" ht="12.75">
      <c r="A100" s="372"/>
      <c r="B100" s="372"/>
      <c r="C100" s="115"/>
      <c r="D100" s="115"/>
      <c r="E100" s="115"/>
      <c r="F100" s="60"/>
      <c r="G100" s="373"/>
      <c r="H100" s="60"/>
      <c r="I100" s="60"/>
      <c r="J100" s="60"/>
      <c r="K100" s="115"/>
    </row>
    <row r="101" spans="1:11" ht="12.75">
      <c r="A101" s="372"/>
      <c r="B101" s="372"/>
      <c r="C101" s="115"/>
      <c r="D101" s="115"/>
      <c r="E101" s="115"/>
      <c r="F101" s="60"/>
      <c r="G101" s="373"/>
      <c r="H101" s="60"/>
      <c r="I101" s="60"/>
      <c r="J101" s="60"/>
      <c r="K101" s="115"/>
    </row>
    <row r="102" spans="1:11" ht="12.75">
      <c r="A102" s="372"/>
      <c r="B102" s="372"/>
      <c r="C102" s="115"/>
      <c r="D102" s="115"/>
      <c r="E102" s="115"/>
      <c r="F102" s="60"/>
      <c r="G102" s="373"/>
      <c r="H102" s="60"/>
      <c r="I102" s="60"/>
      <c r="J102" s="60"/>
      <c r="K102" s="115"/>
    </row>
    <row r="103" spans="1:11" ht="12.75">
      <c r="A103" s="372"/>
      <c r="B103" s="372"/>
      <c r="C103" s="115"/>
      <c r="D103" s="115"/>
      <c r="E103" s="115"/>
      <c r="F103" s="60"/>
      <c r="G103" s="373"/>
      <c r="H103" s="60"/>
      <c r="I103" s="60"/>
      <c r="J103" s="60"/>
      <c r="K103" s="115"/>
    </row>
    <row r="104" spans="1:11" ht="12.75">
      <c r="A104" s="372"/>
      <c r="B104" s="372"/>
      <c r="C104" s="115"/>
      <c r="D104" s="115"/>
      <c r="E104" s="115"/>
      <c r="F104" s="60"/>
      <c r="G104" s="373"/>
      <c r="H104" s="60"/>
      <c r="I104" s="60"/>
      <c r="J104" s="60"/>
      <c r="K104" s="115"/>
    </row>
    <row r="105" spans="1:11" ht="12.75">
      <c r="A105" s="372"/>
      <c r="B105" s="372"/>
      <c r="C105" s="115"/>
      <c r="D105" s="115"/>
      <c r="E105" s="115"/>
      <c r="F105" s="60"/>
      <c r="G105" s="373"/>
      <c r="H105" s="60"/>
      <c r="I105" s="60"/>
      <c r="J105" s="60"/>
      <c r="K105" s="115"/>
    </row>
    <row r="106" spans="1:11" ht="12.75">
      <c r="A106" s="372"/>
      <c r="B106" s="372"/>
      <c r="C106" s="115"/>
      <c r="D106" s="115"/>
      <c r="E106" s="115"/>
      <c r="F106" s="60"/>
      <c r="G106" s="373"/>
      <c r="H106" s="60"/>
      <c r="I106" s="60"/>
      <c r="J106" s="60"/>
      <c r="K106" s="115"/>
    </row>
    <row r="107" spans="1:11" ht="12.75">
      <c r="A107" s="372"/>
      <c r="B107" s="372"/>
      <c r="C107" s="115"/>
      <c r="D107" s="115"/>
      <c r="E107" s="115"/>
      <c r="F107" s="60"/>
      <c r="G107" s="373"/>
      <c r="H107" s="60"/>
      <c r="I107" s="60"/>
      <c r="J107" s="60"/>
      <c r="K107" s="115"/>
    </row>
    <row r="108" spans="1:11" ht="12.75">
      <c r="A108" s="372"/>
      <c r="B108" s="372"/>
      <c r="C108" s="115"/>
      <c r="D108" s="115"/>
      <c r="E108" s="115"/>
      <c r="F108" s="60"/>
      <c r="G108" s="373"/>
      <c r="H108" s="60"/>
      <c r="I108" s="60"/>
      <c r="J108" s="60"/>
      <c r="K108" s="115"/>
    </row>
    <row r="109" spans="1:11" ht="12.75">
      <c r="A109" s="372"/>
      <c r="B109" s="372"/>
      <c r="C109" s="115"/>
      <c r="D109" s="115"/>
      <c r="E109" s="115"/>
      <c r="F109" s="60"/>
      <c r="G109" s="373"/>
      <c r="H109" s="60"/>
      <c r="I109" s="60"/>
      <c r="J109" s="60"/>
      <c r="K109" s="115"/>
    </row>
    <row r="110" spans="1:11" ht="12.75">
      <c r="A110" s="372"/>
      <c r="B110" s="372"/>
      <c r="C110" s="115"/>
      <c r="D110" s="115"/>
      <c r="E110" s="115"/>
      <c r="F110" s="60"/>
      <c r="G110" s="373"/>
      <c r="H110" s="60"/>
      <c r="I110" s="60"/>
      <c r="J110" s="60"/>
      <c r="K110" s="115"/>
    </row>
    <row r="111" spans="1:11" ht="12.75">
      <c r="A111" s="372"/>
      <c r="B111" s="372"/>
      <c r="C111" s="115"/>
      <c r="D111" s="115"/>
      <c r="E111" s="115"/>
      <c r="F111" s="60"/>
      <c r="G111" s="373"/>
      <c r="H111" s="60"/>
      <c r="I111" s="60"/>
      <c r="J111" s="60"/>
      <c r="K111" s="115"/>
    </row>
    <row r="112" spans="1:11" ht="12.75">
      <c r="A112" s="372"/>
      <c r="B112" s="372"/>
      <c r="C112" s="115"/>
      <c r="D112" s="115"/>
      <c r="E112" s="115"/>
      <c r="F112" s="60"/>
      <c r="G112" s="373"/>
      <c r="H112" s="60"/>
      <c r="I112" s="60"/>
      <c r="J112" s="60"/>
      <c r="K112" s="115"/>
    </row>
    <row r="113" spans="1:11" ht="12.75">
      <c r="A113" s="372"/>
      <c r="B113" s="372"/>
      <c r="C113" s="115"/>
      <c r="D113" s="115"/>
      <c r="E113" s="115"/>
      <c r="F113" s="60"/>
      <c r="G113" s="373"/>
      <c r="H113" s="60"/>
      <c r="I113" s="60"/>
      <c r="J113" s="60"/>
      <c r="K113" s="115"/>
    </row>
    <row r="114" spans="1:11" ht="12.75">
      <c r="A114" s="372"/>
      <c r="B114" s="372"/>
      <c r="C114" s="115"/>
      <c r="D114" s="115"/>
      <c r="E114" s="115"/>
      <c r="F114" s="60"/>
      <c r="G114" s="373"/>
      <c r="H114" s="60"/>
      <c r="I114" s="60"/>
      <c r="J114" s="60"/>
      <c r="K114" s="115"/>
    </row>
    <row r="115" spans="1:11" ht="12.75">
      <c r="A115" s="372"/>
      <c r="B115" s="372"/>
      <c r="C115" s="115"/>
      <c r="D115" s="115"/>
      <c r="E115" s="115"/>
      <c r="F115" s="60"/>
      <c r="G115" s="373"/>
      <c r="H115" s="60"/>
      <c r="I115" s="60"/>
      <c r="J115" s="60"/>
      <c r="K115" s="115"/>
    </row>
    <row r="116" spans="1:11" ht="12.75">
      <c r="A116" s="372"/>
      <c r="B116" s="372"/>
      <c r="C116" s="115"/>
      <c r="D116" s="115"/>
      <c r="E116" s="115"/>
      <c r="F116" s="60"/>
      <c r="G116" s="373"/>
      <c r="H116" s="60"/>
      <c r="I116" s="60"/>
      <c r="J116" s="60"/>
      <c r="K116" s="115"/>
    </row>
    <row r="117" spans="1:11" ht="12.75">
      <c r="A117" s="372"/>
      <c r="B117" s="372"/>
      <c r="C117" s="115"/>
      <c r="D117" s="115"/>
      <c r="E117" s="115"/>
      <c r="F117" s="60"/>
      <c r="G117" s="373"/>
      <c r="H117" s="60"/>
      <c r="I117" s="60"/>
      <c r="J117" s="60"/>
      <c r="K117" s="115"/>
    </row>
    <row r="118" spans="1:11" ht="12.75">
      <c r="A118" s="372"/>
      <c r="B118" s="372"/>
      <c r="C118" s="115"/>
      <c r="D118" s="115"/>
      <c r="E118" s="115"/>
      <c r="F118" s="60"/>
      <c r="G118" s="373"/>
      <c r="H118" s="60"/>
      <c r="I118" s="60"/>
      <c r="J118" s="60"/>
      <c r="K118" s="115"/>
    </row>
    <row r="119" spans="1:11" ht="12.75">
      <c r="A119" s="372"/>
      <c r="B119" s="372"/>
      <c r="C119" s="115"/>
      <c r="D119" s="115"/>
      <c r="E119" s="115"/>
      <c r="F119" s="60"/>
      <c r="G119" s="373"/>
      <c r="H119" s="60"/>
      <c r="I119" s="60"/>
      <c r="J119" s="60"/>
      <c r="K119" s="115"/>
    </row>
    <row r="120" spans="1:11" ht="12.75">
      <c r="A120" s="372"/>
      <c r="B120" s="372"/>
      <c r="C120" s="115"/>
      <c r="D120" s="115"/>
      <c r="E120" s="115"/>
      <c r="F120" s="60"/>
      <c r="G120" s="373"/>
      <c r="H120" s="60"/>
      <c r="I120" s="60"/>
      <c r="J120" s="60"/>
      <c r="K120" s="115"/>
    </row>
    <row r="121" spans="1:11" ht="12.75">
      <c r="A121" s="372"/>
      <c r="B121" s="372"/>
      <c r="C121" s="115"/>
      <c r="D121" s="115"/>
      <c r="E121" s="115"/>
      <c r="F121" s="60"/>
      <c r="G121" s="373"/>
      <c r="H121" s="60"/>
      <c r="I121" s="60"/>
      <c r="J121" s="60"/>
      <c r="K121" s="115"/>
    </row>
    <row r="122" spans="1:11" ht="12.75">
      <c r="A122" s="372"/>
      <c r="B122" s="372"/>
      <c r="C122" s="115"/>
      <c r="D122" s="115"/>
      <c r="E122" s="115"/>
      <c r="F122" s="60"/>
      <c r="G122" s="373"/>
      <c r="H122" s="60"/>
      <c r="I122" s="60"/>
      <c r="J122" s="60"/>
      <c r="K122" s="115"/>
    </row>
    <row r="123" spans="1:11" ht="12.75">
      <c r="A123" s="372"/>
      <c r="B123" s="372"/>
      <c r="C123" s="115"/>
      <c r="D123" s="115"/>
      <c r="E123" s="115"/>
      <c r="F123" s="60"/>
      <c r="G123" s="373"/>
      <c r="H123" s="60"/>
      <c r="I123" s="60"/>
      <c r="J123" s="60"/>
      <c r="K123" s="115"/>
    </row>
    <row r="124" spans="1:11" ht="12.75">
      <c r="A124" s="372"/>
      <c r="B124" s="372"/>
      <c r="C124" s="115"/>
      <c r="D124" s="115"/>
      <c r="E124" s="115"/>
      <c r="F124" s="60"/>
      <c r="G124" s="373"/>
      <c r="H124" s="60"/>
      <c r="I124" s="60"/>
      <c r="J124" s="60"/>
      <c r="K124" s="115"/>
    </row>
    <row r="125" spans="1:11" ht="12.75">
      <c r="A125" s="372"/>
      <c r="B125" s="372"/>
      <c r="C125" s="115"/>
      <c r="D125" s="115"/>
      <c r="E125" s="115"/>
      <c r="F125" s="60"/>
      <c r="G125" s="373"/>
      <c r="H125" s="60"/>
      <c r="I125" s="60"/>
      <c r="J125" s="60"/>
      <c r="K125" s="115"/>
    </row>
    <row r="126" spans="1:11" ht="12.75">
      <c r="A126" s="372"/>
      <c r="B126" s="372"/>
      <c r="C126" s="115"/>
      <c r="D126" s="115"/>
      <c r="E126" s="115"/>
      <c r="F126" s="60"/>
      <c r="G126" s="373"/>
      <c r="H126" s="60"/>
      <c r="I126" s="60"/>
      <c r="J126" s="60"/>
      <c r="K126" s="115"/>
    </row>
    <row r="127" spans="1:11" ht="12.75">
      <c r="A127" s="372"/>
      <c r="B127" s="372"/>
      <c r="C127" s="115"/>
      <c r="D127" s="115"/>
      <c r="E127" s="115"/>
      <c r="F127" s="60"/>
      <c r="G127" s="373"/>
      <c r="H127" s="60"/>
      <c r="I127" s="60"/>
      <c r="J127" s="60"/>
      <c r="K127" s="115"/>
    </row>
    <row r="128" spans="1:11" ht="12.75">
      <c r="A128" s="372"/>
      <c r="B128" s="372"/>
      <c r="C128" s="115"/>
      <c r="D128" s="115"/>
      <c r="E128" s="115"/>
      <c r="F128" s="60"/>
      <c r="G128" s="373"/>
      <c r="H128" s="60"/>
      <c r="I128" s="60"/>
      <c r="J128" s="60"/>
      <c r="K128" s="115"/>
    </row>
    <row r="129" spans="1:11" ht="12.75">
      <c r="A129" s="372"/>
      <c r="B129" s="372"/>
      <c r="C129" s="115"/>
      <c r="D129" s="115"/>
      <c r="E129" s="115"/>
      <c r="F129" s="60"/>
      <c r="G129" s="373"/>
      <c r="H129" s="60"/>
      <c r="I129" s="60"/>
      <c r="J129" s="60"/>
      <c r="K129" s="115"/>
    </row>
    <row r="130" spans="1:11" ht="12.75">
      <c r="A130" s="372"/>
      <c r="B130" s="372"/>
      <c r="C130" s="115"/>
      <c r="D130" s="115"/>
      <c r="E130" s="115"/>
      <c r="F130" s="60"/>
      <c r="G130" s="373"/>
      <c r="H130" s="60"/>
      <c r="I130" s="60"/>
      <c r="J130" s="60"/>
      <c r="K130" s="115"/>
    </row>
    <row r="131" spans="1:11" ht="12.75">
      <c r="A131" s="372"/>
      <c r="B131" s="372"/>
      <c r="C131" s="115"/>
      <c r="D131" s="115"/>
      <c r="E131" s="115"/>
      <c r="F131" s="60"/>
      <c r="G131" s="373"/>
      <c r="H131" s="60"/>
      <c r="I131" s="60"/>
      <c r="J131" s="60"/>
      <c r="K131" s="115"/>
    </row>
    <row r="132" spans="1:11" ht="12.75">
      <c r="A132" s="372"/>
      <c r="B132" s="372"/>
      <c r="C132" s="115"/>
      <c r="D132" s="115"/>
      <c r="E132" s="115"/>
      <c r="F132" s="60"/>
      <c r="G132" s="373"/>
      <c r="H132" s="60"/>
      <c r="I132" s="60"/>
      <c r="J132" s="60"/>
      <c r="K132" s="115"/>
    </row>
    <row r="133" spans="1:11" ht="12.75">
      <c r="A133" s="372"/>
      <c r="B133" s="372"/>
      <c r="C133" s="115"/>
      <c r="D133" s="115"/>
      <c r="E133" s="115"/>
      <c r="F133" s="60"/>
      <c r="G133" s="373"/>
      <c r="H133" s="60"/>
      <c r="I133" s="60"/>
      <c r="J133" s="60"/>
      <c r="K133" s="115"/>
    </row>
    <row r="134" spans="1:11" ht="12.75">
      <c r="A134" s="372"/>
      <c r="B134" s="372"/>
      <c r="C134" s="115"/>
      <c r="D134" s="115"/>
      <c r="E134" s="115"/>
      <c r="F134" s="60"/>
      <c r="G134" s="373"/>
      <c r="H134" s="60"/>
      <c r="I134" s="60"/>
      <c r="J134" s="60"/>
      <c r="K134" s="115"/>
    </row>
    <row r="135" spans="1:11" ht="12.75">
      <c r="A135" s="372"/>
      <c r="B135" s="372"/>
      <c r="C135" s="115"/>
      <c r="D135" s="115"/>
      <c r="E135" s="115"/>
      <c r="F135" s="60"/>
      <c r="G135" s="373"/>
      <c r="H135" s="60"/>
      <c r="I135" s="60"/>
      <c r="J135" s="60"/>
      <c r="K135" s="115"/>
    </row>
    <row r="136" spans="1:11" ht="12.75">
      <c r="A136" s="372"/>
      <c r="B136" s="372"/>
      <c r="C136" s="115"/>
      <c r="D136" s="115"/>
      <c r="E136" s="115"/>
      <c r="F136" s="60"/>
      <c r="G136" s="373"/>
      <c r="H136" s="60"/>
      <c r="I136" s="60"/>
      <c r="J136" s="60"/>
      <c r="K136" s="115"/>
    </row>
    <row r="137" spans="1:11" ht="12.75">
      <c r="A137" s="372"/>
      <c r="B137" s="372"/>
      <c r="C137" s="115"/>
      <c r="D137" s="115"/>
      <c r="E137" s="115"/>
      <c r="F137" s="60"/>
      <c r="G137" s="373"/>
      <c r="H137" s="60"/>
      <c r="I137" s="60"/>
      <c r="J137" s="60"/>
      <c r="K137" s="115"/>
    </row>
    <row r="138" spans="1:11" ht="12.75">
      <c r="A138" s="372"/>
      <c r="B138" s="372"/>
      <c r="C138" s="115"/>
      <c r="D138" s="115"/>
      <c r="E138" s="115"/>
      <c r="F138" s="60"/>
      <c r="G138" s="373"/>
      <c r="H138" s="60"/>
      <c r="I138" s="60"/>
      <c r="J138" s="60"/>
      <c r="K138" s="115"/>
    </row>
    <row r="139" spans="1:11" ht="12.75">
      <c r="A139" s="372"/>
      <c r="B139" s="372"/>
      <c r="C139" s="115"/>
      <c r="D139" s="115"/>
      <c r="E139" s="115"/>
      <c r="F139" s="60"/>
      <c r="G139" s="373"/>
      <c r="H139" s="60"/>
      <c r="I139" s="60"/>
      <c r="J139" s="60"/>
      <c r="K139" s="115"/>
    </row>
    <row r="140" spans="1:11" ht="12.75">
      <c r="A140" s="372"/>
      <c r="B140" s="372"/>
      <c r="C140" s="115"/>
      <c r="D140" s="115"/>
      <c r="E140" s="115"/>
      <c r="F140" s="60"/>
      <c r="G140" s="373"/>
      <c r="H140" s="60"/>
      <c r="I140" s="60"/>
      <c r="J140" s="60"/>
      <c r="K140" s="115"/>
    </row>
    <row r="141" spans="1:11" ht="12.75">
      <c r="A141" s="372"/>
      <c r="B141" s="372"/>
      <c r="C141" s="115"/>
      <c r="D141" s="115"/>
      <c r="E141" s="115"/>
      <c r="F141" s="60"/>
      <c r="G141" s="373"/>
      <c r="H141" s="60"/>
      <c r="I141" s="60"/>
      <c r="J141" s="60"/>
      <c r="K141" s="115"/>
    </row>
    <row r="142" spans="1:11" ht="12.75">
      <c r="A142" s="372"/>
      <c r="B142" s="372"/>
      <c r="C142" s="115"/>
      <c r="D142" s="115"/>
      <c r="E142" s="115"/>
      <c r="F142" s="60"/>
      <c r="G142" s="373"/>
      <c r="H142" s="60"/>
      <c r="I142" s="60"/>
      <c r="J142" s="60"/>
      <c r="K142" s="115"/>
    </row>
    <row r="143" spans="1:11" ht="12.75">
      <c r="A143" s="372"/>
      <c r="B143" s="372"/>
      <c r="C143" s="115"/>
      <c r="D143" s="115"/>
      <c r="E143" s="115"/>
      <c r="F143" s="60"/>
      <c r="G143" s="373"/>
      <c r="H143" s="60"/>
      <c r="I143" s="60"/>
      <c r="J143" s="60"/>
      <c r="K143" s="115"/>
    </row>
    <row r="144" spans="1:11" ht="12.75">
      <c r="A144" s="372"/>
      <c r="B144" s="372"/>
      <c r="C144" s="115"/>
      <c r="D144" s="115"/>
      <c r="E144" s="115"/>
      <c r="F144" s="60"/>
      <c r="G144" s="373"/>
      <c r="H144" s="60"/>
      <c r="I144" s="60"/>
      <c r="J144" s="60"/>
      <c r="K144" s="115"/>
    </row>
    <row r="145" spans="1:11" ht="12.75">
      <c r="A145" s="372"/>
      <c r="B145" s="372"/>
      <c r="C145" s="115"/>
      <c r="D145" s="115"/>
      <c r="E145" s="115"/>
      <c r="F145" s="60"/>
      <c r="G145" s="373"/>
      <c r="H145" s="60"/>
      <c r="I145" s="60"/>
      <c r="J145" s="60"/>
      <c r="K145" s="115"/>
    </row>
    <row r="146" spans="1:11" ht="12.75">
      <c r="A146" s="372"/>
      <c r="B146" s="372"/>
      <c r="C146" s="115"/>
      <c r="D146" s="115"/>
      <c r="E146" s="115"/>
      <c r="F146" s="60"/>
      <c r="G146" s="373"/>
      <c r="H146" s="60"/>
      <c r="I146" s="60"/>
      <c r="J146" s="60"/>
      <c r="K146" s="115"/>
    </row>
    <row r="147" spans="1:11" ht="12.75">
      <c r="A147" s="372"/>
      <c r="B147" s="372"/>
      <c r="C147" s="115"/>
      <c r="D147" s="115"/>
      <c r="E147" s="115"/>
      <c r="F147" s="60"/>
      <c r="G147" s="373"/>
      <c r="H147" s="60"/>
      <c r="I147" s="60"/>
      <c r="J147" s="60"/>
      <c r="K147" s="115"/>
    </row>
    <row r="148" spans="1:11" ht="12.75">
      <c r="A148" s="372"/>
      <c r="B148" s="372"/>
      <c r="C148" s="115"/>
      <c r="D148" s="115"/>
      <c r="E148" s="115"/>
      <c r="F148" s="60"/>
      <c r="G148" s="373"/>
      <c r="H148" s="60"/>
      <c r="I148" s="60"/>
      <c r="J148" s="60"/>
      <c r="K148" s="115"/>
    </row>
    <row r="149" spans="1:11" ht="12.75">
      <c r="A149" s="372"/>
      <c r="B149" s="372"/>
      <c r="C149" s="115"/>
      <c r="D149" s="115"/>
      <c r="E149" s="115"/>
      <c r="F149" s="60"/>
      <c r="G149" s="373"/>
      <c r="H149" s="60"/>
      <c r="I149" s="60"/>
      <c r="J149" s="60"/>
      <c r="K149" s="115"/>
    </row>
    <row r="150" spans="1:11" ht="12.75">
      <c r="A150" s="372"/>
      <c r="B150" s="372"/>
      <c r="C150" s="115"/>
      <c r="D150" s="115"/>
      <c r="E150" s="115"/>
      <c r="F150" s="60"/>
      <c r="G150" s="373"/>
      <c r="H150" s="60"/>
      <c r="I150" s="60"/>
      <c r="J150" s="60"/>
      <c r="K150" s="115"/>
    </row>
    <row r="151" spans="1:11" ht="12.75">
      <c r="A151" s="372"/>
      <c r="B151" s="372"/>
      <c r="C151" s="115"/>
      <c r="D151" s="115"/>
      <c r="E151" s="115"/>
      <c r="F151" s="60"/>
      <c r="G151" s="373"/>
      <c r="H151" s="60"/>
      <c r="I151" s="60"/>
      <c r="J151" s="60"/>
      <c r="K151" s="115"/>
    </row>
    <row r="152" spans="1:11" ht="12.75">
      <c r="A152" s="372"/>
      <c r="B152" s="372"/>
      <c r="C152" s="115"/>
      <c r="D152" s="115"/>
      <c r="E152" s="115"/>
      <c r="F152" s="60"/>
      <c r="G152" s="373"/>
      <c r="H152" s="60"/>
      <c r="I152" s="60"/>
      <c r="J152" s="60"/>
      <c r="K152" s="115"/>
    </row>
    <row r="153" spans="1:11" ht="12.75">
      <c r="A153" s="372"/>
      <c r="B153" s="372"/>
      <c r="C153" s="115"/>
      <c r="D153" s="115"/>
      <c r="E153" s="115"/>
      <c r="F153" s="60"/>
      <c r="G153" s="373"/>
      <c r="H153" s="60"/>
      <c r="I153" s="60"/>
      <c r="J153" s="60"/>
      <c r="K153" s="115"/>
    </row>
    <row r="154" spans="1:11" ht="12.75">
      <c r="A154" s="372"/>
      <c r="B154" s="372"/>
      <c r="C154" s="115"/>
      <c r="D154" s="115"/>
      <c r="E154" s="115"/>
      <c r="F154" s="60"/>
      <c r="G154" s="373"/>
      <c r="H154" s="60"/>
      <c r="I154" s="60"/>
      <c r="J154" s="60"/>
      <c r="K154" s="115"/>
    </row>
    <row r="155" spans="1:11" ht="12.75">
      <c r="A155" s="372"/>
      <c r="B155" s="372"/>
      <c r="C155" s="115"/>
      <c r="D155" s="115"/>
      <c r="E155" s="115"/>
      <c r="F155" s="60"/>
      <c r="G155" s="373"/>
      <c r="H155" s="60"/>
      <c r="I155" s="60"/>
      <c r="J155" s="60"/>
      <c r="K155" s="115"/>
    </row>
    <row r="156" spans="1:11" ht="12.75">
      <c r="A156" s="372"/>
      <c r="B156" s="372"/>
      <c r="C156" s="115"/>
      <c r="D156" s="115"/>
      <c r="E156" s="115"/>
      <c r="F156" s="60"/>
      <c r="G156" s="373"/>
      <c r="H156" s="60"/>
      <c r="I156" s="60"/>
      <c r="J156" s="60"/>
      <c r="K156" s="115"/>
    </row>
    <row r="157" spans="1:11" ht="12.75">
      <c r="A157" s="372"/>
      <c r="B157" s="372"/>
      <c r="C157" s="115"/>
      <c r="D157" s="115"/>
      <c r="E157" s="115"/>
      <c r="F157" s="60"/>
      <c r="G157" s="373"/>
      <c r="H157" s="60"/>
      <c r="I157" s="60"/>
      <c r="J157" s="60"/>
      <c r="K157" s="115"/>
    </row>
    <row r="158" spans="1:11" ht="12.75">
      <c r="A158" s="372"/>
      <c r="B158" s="372"/>
      <c r="C158" s="115"/>
      <c r="D158" s="115"/>
      <c r="E158" s="115"/>
      <c r="F158" s="60"/>
      <c r="G158" s="373"/>
      <c r="H158" s="60"/>
      <c r="I158" s="60"/>
      <c r="J158" s="60"/>
      <c r="K158" s="115"/>
    </row>
    <row r="159" spans="1:11" ht="12.75">
      <c r="A159" s="372"/>
      <c r="B159" s="372"/>
      <c r="C159" s="115"/>
      <c r="D159" s="115"/>
      <c r="E159" s="115"/>
      <c r="F159" s="60"/>
      <c r="G159" s="373"/>
      <c r="H159" s="60"/>
      <c r="I159" s="60"/>
      <c r="J159" s="60"/>
      <c r="K159" s="115"/>
    </row>
    <row r="160" spans="1:11" ht="12.75">
      <c r="A160" s="372"/>
      <c r="B160" s="372"/>
      <c r="C160" s="115"/>
      <c r="D160" s="115"/>
      <c r="E160" s="115"/>
      <c r="F160" s="60"/>
      <c r="G160" s="373"/>
      <c r="H160" s="60"/>
      <c r="I160" s="60"/>
      <c r="J160" s="60"/>
      <c r="K160" s="115"/>
    </row>
    <row r="161" spans="1:11" ht="12.75">
      <c r="A161" s="372"/>
      <c r="B161" s="372"/>
      <c r="C161" s="115"/>
      <c r="D161" s="115"/>
      <c r="E161" s="115"/>
      <c r="F161" s="60"/>
      <c r="G161" s="373"/>
      <c r="H161" s="60"/>
      <c r="I161" s="60"/>
      <c r="J161" s="60"/>
      <c r="K161" s="115"/>
    </row>
    <row r="162" spans="1:11" ht="12.75">
      <c r="A162" s="372"/>
      <c r="B162" s="372"/>
      <c r="C162" s="115"/>
      <c r="D162" s="115"/>
      <c r="E162" s="115"/>
      <c r="F162" s="60"/>
      <c r="G162" s="373"/>
      <c r="H162" s="60"/>
      <c r="I162" s="60"/>
      <c r="J162" s="60"/>
      <c r="K162" s="115"/>
    </row>
    <row r="163" spans="1:11" ht="12.75">
      <c r="A163" s="372"/>
      <c r="B163" s="372"/>
      <c r="C163" s="115"/>
      <c r="D163" s="115"/>
      <c r="E163" s="115"/>
      <c r="F163" s="60"/>
      <c r="G163" s="373"/>
      <c r="H163" s="60"/>
      <c r="I163" s="60"/>
      <c r="J163" s="60"/>
      <c r="K163" s="115"/>
    </row>
    <row r="164" spans="1:11" ht="12.75">
      <c r="A164" s="372"/>
      <c r="B164" s="372"/>
      <c r="C164" s="115"/>
      <c r="D164" s="115"/>
      <c r="E164" s="115"/>
      <c r="F164" s="60"/>
      <c r="G164" s="373"/>
      <c r="H164" s="60"/>
      <c r="I164" s="60"/>
      <c r="J164" s="60"/>
      <c r="K164" s="115"/>
    </row>
    <row r="165" spans="1:11" ht="12.75">
      <c r="A165" s="372"/>
      <c r="B165" s="372"/>
      <c r="C165" s="115"/>
      <c r="D165" s="115"/>
      <c r="E165" s="115"/>
      <c r="F165" s="60"/>
      <c r="G165" s="373"/>
      <c r="H165" s="60"/>
      <c r="I165" s="60"/>
      <c r="J165" s="60"/>
      <c r="K165" s="115"/>
    </row>
    <row r="166" spans="1:11" ht="12.75">
      <c r="A166" s="372"/>
      <c r="B166" s="372"/>
      <c r="C166" s="115"/>
      <c r="D166" s="115"/>
      <c r="E166" s="115"/>
      <c r="F166" s="60"/>
      <c r="G166" s="373"/>
      <c r="H166" s="60"/>
      <c r="I166" s="60"/>
      <c r="J166" s="60"/>
      <c r="K166" s="115"/>
    </row>
    <row r="167" spans="1:11" ht="12.75">
      <c r="A167" s="372"/>
      <c r="B167" s="372"/>
      <c r="C167" s="115"/>
      <c r="D167" s="115"/>
      <c r="E167" s="115"/>
      <c r="F167" s="60"/>
      <c r="G167" s="373"/>
      <c r="H167" s="60"/>
      <c r="I167" s="60"/>
      <c r="J167" s="60"/>
      <c r="K167" s="115"/>
    </row>
    <row r="168" spans="1:11" ht="12.75">
      <c r="A168" s="372"/>
      <c r="B168" s="372"/>
      <c r="C168" s="115"/>
      <c r="D168" s="115"/>
      <c r="E168" s="115"/>
      <c r="F168" s="60"/>
      <c r="G168" s="373"/>
      <c r="H168" s="60"/>
      <c r="I168" s="60"/>
      <c r="J168" s="60"/>
      <c r="K168" s="115"/>
    </row>
    <row r="169" spans="1:11" ht="12.75">
      <c r="A169" s="372"/>
      <c r="B169" s="372"/>
      <c r="C169" s="115"/>
      <c r="D169" s="115"/>
      <c r="E169" s="115"/>
      <c r="F169" s="60"/>
      <c r="G169" s="373"/>
      <c r="H169" s="60"/>
      <c r="I169" s="60"/>
      <c r="J169" s="60"/>
      <c r="K169" s="115"/>
    </row>
    <row r="170" spans="1:11" ht="12.75">
      <c r="A170" s="372"/>
      <c r="B170" s="372"/>
      <c r="C170" s="115"/>
      <c r="D170" s="115"/>
      <c r="E170" s="115"/>
      <c r="F170" s="60"/>
      <c r="G170" s="373"/>
      <c r="H170" s="60"/>
      <c r="I170" s="60"/>
      <c r="J170" s="60"/>
      <c r="K170" s="115"/>
    </row>
    <row r="171" spans="1:11" ht="12.75">
      <c r="A171" s="372"/>
      <c r="B171" s="372"/>
      <c r="C171" s="115"/>
      <c r="D171" s="115"/>
      <c r="E171" s="115"/>
      <c r="F171" s="60"/>
      <c r="G171" s="373"/>
      <c r="H171" s="60"/>
      <c r="I171" s="60"/>
      <c r="J171" s="60"/>
      <c r="K171" s="115"/>
    </row>
    <row r="172" spans="1:11" ht="12.75">
      <c r="A172" s="372"/>
      <c r="B172" s="372"/>
      <c r="C172" s="115"/>
      <c r="D172" s="115"/>
      <c r="E172" s="115"/>
      <c r="F172" s="60"/>
      <c r="G172" s="373"/>
      <c r="H172" s="60"/>
      <c r="I172" s="60"/>
      <c r="J172" s="60"/>
      <c r="K172" s="115"/>
    </row>
    <row r="173" spans="1:11" ht="12.75">
      <c r="A173" s="372"/>
      <c r="B173" s="372"/>
      <c r="C173" s="115"/>
      <c r="D173" s="115"/>
      <c r="E173" s="115"/>
      <c r="F173" s="60"/>
      <c r="G173" s="373"/>
      <c r="H173" s="60"/>
      <c r="I173" s="60"/>
      <c r="J173" s="60"/>
      <c r="K173" s="115"/>
    </row>
    <row r="174" spans="1:11" ht="12.75">
      <c r="A174" s="372"/>
      <c r="B174" s="372"/>
      <c r="C174" s="115"/>
      <c r="D174" s="115"/>
      <c r="E174" s="115"/>
      <c r="F174" s="60"/>
      <c r="G174" s="373"/>
      <c r="H174" s="60"/>
      <c r="I174" s="60"/>
      <c r="J174" s="60"/>
      <c r="K174" s="115"/>
    </row>
    <row r="175" spans="1:11" ht="12.75">
      <c r="A175" s="372"/>
      <c r="B175" s="372"/>
      <c r="C175" s="115"/>
      <c r="D175" s="115"/>
      <c r="E175" s="115"/>
      <c r="F175" s="60"/>
      <c r="G175" s="373"/>
      <c r="H175" s="60"/>
      <c r="I175" s="60"/>
      <c r="J175" s="60"/>
      <c r="K175" s="115"/>
    </row>
    <row r="176" spans="1:11" ht="12.75">
      <c r="A176" s="372"/>
      <c r="B176" s="372"/>
      <c r="C176" s="115"/>
      <c r="D176" s="115"/>
      <c r="E176" s="115"/>
      <c r="F176" s="60"/>
      <c r="G176" s="373"/>
      <c r="H176" s="60"/>
      <c r="I176" s="60"/>
      <c r="J176" s="60"/>
      <c r="K176" s="115"/>
    </row>
    <row r="177" spans="1:11" ht="12.75">
      <c r="A177" s="372"/>
      <c r="B177" s="372"/>
      <c r="C177" s="115"/>
      <c r="D177" s="115"/>
      <c r="E177" s="115"/>
      <c r="F177" s="60"/>
      <c r="G177" s="373"/>
      <c r="H177" s="60"/>
      <c r="I177" s="60"/>
      <c r="J177" s="60"/>
      <c r="K177" s="115"/>
    </row>
    <row r="178" spans="1:11" ht="12.75">
      <c r="A178" s="372"/>
      <c r="B178" s="372"/>
      <c r="C178" s="115"/>
      <c r="D178" s="115"/>
      <c r="E178" s="115"/>
      <c r="F178" s="60"/>
      <c r="G178" s="373"/>
      <c r="H178" s="60"/>
      <c r="I178" s="60"/>
      <c r="J178" s="60"/>
      <c r="K178" s="115"/>
    </row>
    <row r="179" spans="1:11" ht="12.75">
      <c r="A179" s="372"/>
      <c r="B179" s="372"/>
      <c r="C179" s="115"/>
      <c r="D179" s="115"/>
      <c r="E179" s="115"/>
      <c r="F179" s="60"/>
      <c r="G179" s="373"/>
      <c r="H179" s="60"/>
      <c r="I179" s="60"/>
      <c r="J179" s="60"/>
      <c r="K179" s="115"/>
    </row>
    <row r="180" spans="1:11" ht="12.75">
      <c r="A180" s="372"/>
      <c r="B180" s="372"/>
      <c r="C180" s="115"/>
      <c r="D180" s="115"/>
      <c r="E180" s="115"/>
      <c r="F180" s="60"/>
      <c r="G180" s="373"/>
      <c r="H180" s="60"/>
      <c r="I180" s="60"/>
      <c r="J180" s="60"/>
      <c r="K180" s="115"/>
    </row>
    <row r="181" spans="1:11" ht="12.75">
      <c r="A181" s="372"/>
      <c r="B181" s="372"/>
      <c r="C181" s="115"/>
      <c r="D181" s="115"/>
      <c r="E181" s="115"/>
      <c r="F181" s="60"/>
      <c r="G181" s="373"/>
      <c r="H181" s="60"/>
      <c r="I181" s="60"/>
      <c r="J181" s="60"/>
      <c r="K181" s="115"/>
    </row>
    <row r="182" spans="1:11" ht="12.75">
      <c r="A182" s="372"/>
      <c r="B182" s="372"/>
      <c r="C182" s="115"/>
      <c r="D182" s="115"/>
      <c r="E182" s="115"/>
      <c r="F182" s="60"/>
      <c r="G182" s="373"/>
      <c r="H182" s="60"/>
      <c r="I182" s="60"/>
      <c r="J182" s="60"/>
      <c r="K182" s="115"/>
    </row>
    <row r="183" spans="1:11" ht="12.75">
      <c r="A183" s="372"/>
      <c r="B183" s="372"/>
      <c r="C183" s="115"/>
      <c r="D183" s="115"/>
      <c r="E183" s="115"/>
      <c r="F183" s="60"/>
      <c r="G183" s="373"/>
      <c r="H183" s="60"/>
      <c r="I183" s="60"/>
      <c r="J183" s="60"/>
      <c r="K183" s="115"/>
    </row>
    <row r="184" spans="1:11" ht="12.75">
      <c r="A184" s="372"/>
      <c r="B184" s="372"/>
      <c r="C184" s="115"/>
      <c r="D184" s="115"/>
      <c r="E184" s="115"/>
      <c r="F184" s="60"/>
      <c r="G184" s="373"/>
      <c r="H184" s="60"/>
      <c r="I184" s="60"/>
      <c r="J184" s="60"/>
      <c r="K184" s="115"/>
    </row>
    <row r="185" spans="1:11" ht="12.75">
      <c r="A185" s="372"/>
      <c r="B185" s="372"/>
      <c r="C185" s="115"/>
      <c r="D185" s="115"/>
      <c r="E185" s="115"/>
      <c r="F185" s="60"/>
      <c r="G185" s="373"/>
      <c r="H185" s="60"/>
      <c r="I185" s="60"/>
      <c r="J185" s="60"/>
      <c r="K185" s="115"/>
    </row>
    <row r="186" spans="1:11" ht="12.75">
      <c r="A186" s="372"/>
      <c r="B186" s="372"/>
      <c r="C186" s="115"/>
      <c r="D186" s="115"/>
      <c r="E186" s="115"/>
      <c r="F186" s="60"/>
      <c r="G186" s="373"/>
      <c r="H186" s="60"/>
      <c r="I186" s="60"/>
      <c r="J186" s="60"/>
      <c r="K186" s="115"/>
    </row>
    <row r="187" spans="1:11" ht="12.75">
      <c r="A187" s="372"/>
      <c r="B187" s="372"/>
      <c r="C187" s="115"/>
      <c r="D187" s="115"/>
      <c r="E187" s="115"/>
      <c r="F187" s="60"/>
      <c r="G187" s="373"/>
      <c r="H187" s="60"/>
      <c r="I187" s="60"/>
      <c r="J187" s="60"/>
      <c r="K187" s="115"/>
    </row>
    <row r="188" spans="1:11" ht="12.75">
      <c r="A188" s="372"/>
      <c r="B188" s="372"/>
      <c r="C188" s="115"/>
      <c r="D188" s="115"/>
      <c r="E188" s="115"/>
      <c r="F188" s="60"/>
      <c r="G188" s="373"/>
      <c r="H188" s="60"/>
      <c r="I188" s="60"/>
      <c r="J188" s="60"/>
      <c r="K188" s="115"/>
    </row>
    <row r="189" spans="1:11" ht="12.75">
      <c r="A189" s="372"/>
      <c r="B189" s="372"/>
      <c r="C189" s="115"/>
      <c r="D189" s="115"/>
      <c r="E189" s="115"/>
      <c r="F189" s="60"/>
      <c r="G189" s="373"/>
      <c r="H189" s="60"/>
      <c r="I189" s="60"/>
      <c r="J189" s="60"/>
      <c r="K189" s="115"/>
    </row>
    <row r="190" spans="1:11" ht="12.75">
      <c r="A190" s="372"/>
      <c r="B190" s="372"/>
      <c r="C190" s="115"/>
      <c r="D190" s="115"/>
      <c r="E190" s="115"/>
      <c r="F190" s="60"/>
      <c r="G190" s="373"/>
      <c r="H190" s="60"/>
      <c r="I190" s="60"/>
      <c r="J190" s="60"/>
      <c r="K190" s="115"/>
    </row>
    <row r="191" spans="1:11" ht="12.75">
      <c r="A191" s="372"/>
      <c r="B191" s="372"/>
      <c r="C191" s="115"/>
      <c r="D191" s="115"/>
      <c r="E191" s="115"/>
      <c r="F191" s="60"/>
      <c r="G191" s="373"/>
      <c r="H191" s="60"/>
      <c r="I191" s="60"/>
      <c r="J191" s="60"/>
      <c r="K191" s="115"/>
    </row>
    <row r="192" spans="1:11" ht="12.75">
      <c r="A192" s="372"/>
      <c r="B192" s="372"/>
      <c r="C192" s="115"/>
      <c r="D192" s="115"/>
      <c r="E192" s="115"/>
      <c r="F192" s="60"/>
      <c r="G192" s="373"/>
      <c r="H192" s="60"/>
      <c r="I192" s="60"/>
      <c r="J192" s="60"/>
      <c r="K192" s="115"/>
    </row>
    <row r="193" spans="1:11" ht="12.75">
      <c r="A193" s="372"/>
      <c r="B193" s="372"/>
      <c r="C193" s="115"/>
      <c r="D193" s="115"/>
      <c r="E193" s="115"/>
      <c r="F193" s="60"/>
      <c r="G193" s="373"/>
      <c r="H193" s="60"/>
      <c r="I193" s="60"/>
      <c r="J193" s="60"/>
      <c r="K193" s="115"/>
    </row>
    <row r="194" spans="1:11" ht="12.75">
      <c r="A194" s="372"/>
      <c r="B194" s="372"/>
      <c r="C194" s="115"/>
      <c r="D194" s="115"/>
      <c r="E194" s="115"/>
      <c r="F194" s="60"/>
      <c r="G194" s="373"/>
      <c r="H194" s="60"/>
      <c r="I194" s="60"/>
      <c r="J194" s="60"/>
      <c r="K194" s="115"/>
    </row>
    <row r="195" spans="1:11" ht="12.75">
      <c r="A195" s="372"/>
      <c r="B195" s="372"/>
      <c r="C195" s="115"/>
      <c r="D195" s="115"/>
      <c r="E195" s="115"/>
      <c r="F195" s="60"/>
      <c r="G195" s="373"/>
      <c r="H195" s="60"/>
      <c r="I195" s="60"/>
      <c r="J195" s="60"/>
      <c r="K195" s="115"/>
    </row>
    <row r="196" spans="1:11" ht="12.75">
      <c r="A196" s="372"/>
      <c r="B196" s="372"/>
      <c r="C196" s="115"/>
      <c r="D196" s="115"/>
      <c r="E196" s="115"/>
      <c r="F196" s="60"/>
      <c r="G196" s="373"/>
      <c r="H196" s="60"/>
      <c r="I196" s="60"/>
      <c r="J196" s="60"/>
      <c r="K196" s="115"/>
    </row>
    <row r="197" spans="1:11" ht="12.75">
      <c r="A197" s="372"/>
      <c r="B197" s="372"/>
      <c r="C197" s="115"/>
      <c r="D197" s="115"/>
      <c r="E197" s="115"/>
      <c r="F197" s="60"/>
      <c r="G197" s="373"/>
      <c r="H197" s="60"/>
      <c r="I197" s="60"/>
      <c r="J197" s="60"/>
      <c r="K197" s="115"/>
    </row>
    <row r="198" spans="1:11" ht="12.75">
      <c r="A198" s="372"/>
      <c r="B198" s="372"/>
      <c r="C198" s="115"/>
      <c r="D198" s="115"/>
      <c r="E198" s="115"/>
      <c r="F198" s="60"/>
      <c r="G198" s="373"/>
      <c r="H198" s="60"/>
      <c r="I198" s="60"/>
      <c r="J198" s="60"/>
      <c r="K198" s="115"/>
    </row>
    <row r="199" spans="1:11" ht="12.75">
      <c r="A199" s="372"/>
      <c r="B199" s="372"/>
      <c r="C199" s="115"/>
      <c r="D199" s="115"/>
      <c r="E199" s="115"/>
      <c r="F199" s="60"/>
      <c r="G199" s="373"/>
      <c r="H199" s="60"/>
      <c r="I199" s="60"/>
      <c r="J199" s="60"/>
      <c r="K199" s="115"/>
    </row>
    <row r="200" spans="1:11" ht="12.75">
      <c r="A200" s="372"/>
      <c r="B200" s="372"/>
      <c r="C200" s="115"/>
      <c r="D200" s="115"/>
      <c r="E200" s="115"/>
      <c r="F200" s="60"/>
      <c r="G200" s="373"/>
      <c r="H200" s="60"/>
      <c r="I200" s="60"/>
      <c r="J200" s="60"/>
      <c r="K200" s="115"/>
    </row>
    <row r="201" spans="1:11" ht="12.75">
      <c r="A201" s="372"/>
      <c r="B201" s="372"/>
      <c r="C201" s="115"/>
      <c r="D201" s="115"/>
      <c r="E201" s="115"/>
      <c r="F201" s="60"/>
      <c r="G201" s="373"/>
      <c r="H201" s="60"/>
      <c r="I201" s="60"/>
      <c r="J201" s="60"/>
      <c r="K201" s="115"/>
    </row>
    <row r="202" spans="1:11" ht="12.75">
      <c r="A202" s="372"/>
      <c r="B202" s="372"/>
      <c r="C202" s="115"/>
      <c r="D202" s="115"/>
      <c r="E202" s="115"/>
      <c r="F202" s="60"/>
      <c r="G202" s="373"/>
      <c r="H202" s="60"/>
      <c r="I202" s="60"/>
      <c r="J202" s="60"/>
      <c r="K202" s="115"/>
    </row>
    <row r="203" spans="1:11" ht="12.75">
      <c r="A203" s="372"/>
      <c r="B203" s="372"/>
      <c r="C203" s="115"/>
      <c r="D203" s="115"/>
      <c r="E203" s="115"/>
      <c r="F203" s="60"/>
      <c r="G203" s="373"/>
      <c r="H203" s="60"/>
      <c r="I203" s="60"/>
      <c r="J203" s="60"/>
      <c r="K203" s="115"/>
    </row>
    <row r="204" spans="1:11" ht="12.75">
      <c r="A204" s="372"/>
      <c r="B204" s="372"/>
      <c r="C204" s="115"/>
      <c r="D204" s="115"/>
      <c r="E204" s="115"/>
      <c r="F204" s="60"/>
      <c r="G204" s="373"/>
      <c r="H204" s="60"/>
      <c r="I204" s="60"/>
      <c r="J204" s="60"/>
      <c r="K204" s="115"/>
    </row>
    <row r="205" spans="1:11" ht="12.75">
      <c r="A205" s="372"/>
      <c r="B205" s="372"/>
      <c r="C205" s="115"/>
      <c r="D205" s="115"/>
      <c r="E205" s="115"/>
      <c r="F205" s="60"/>
      <c r="G205" s="373"/>
      <c r="H205" s="60"/>
      <c r="I205" s="60"/>
      <c r="J205" s="60"/>
      <c r="K205" s="115"/>
    </row>
    <row r="206" spans="1:11" ht="12.75">
      <c r="A206" s="372"/>
      <c r="B206" s="372"/>
      <c r="C206" s="115"/>
      <c r="D206" s="115"/>
      <c r="E206" s="115"/>
      <c r="F206" s="60"/>
      <c r="G206" s="373"/>
      <c r="H206" s="60"/>
      <c r="I206" s="60"/>
      <c r="J206" s="60"/>
      <c r="K206" s="115"/>
    </row>
    <row r="207" spans="1:11" ht="12.75">
      <c r="A207" s="372"/>
      <c r="B207" s="372"/>
      <c r="C207" s="115"/>
      <c r="D207" s="115"/>
      <c r="E207" s="115"/>
      <c r="F207" s="60"/>
      <c r="G207" s="373"/>
      <c r="H207" s="60"/>
      <c r="I207" s="60"/>
      <c r="J207" s="60"/>
      <c r="K207" s="115"/>
    </row>
    <row r="208" spans="1:11" ht="12.75">
      <c r="A208" s="372"/>
      <c r="B208" s="372"/>
      <c r="C208" s="115"/>
      <c r="D208" s="115"/>
      <c r="E208" s="115"/>
      <c r="F208" s="60"/>
      <c r="G208" s="373"/>
      <c r="H208" s="60"/>
      <c r="I208" s="60"/>
      <c r="J208" s="60"/>
      <c r="K208" s="115"/>
    </row>
    <row r="209" spans="1:11" ht="12.75">
      <c r="A209" s="372"/>
      <c r="B209" s="372"/>
      <c r="C209" s="115"/>
      <c r="D209" s="115"/>
      <c r="E209" s="115"/>
      <c r="F209" s="60"/>
      <c r="G209" s="373"/>
      <c r="H209" s="60"/>
      <c r="I209" s="60"/>
      <c r="J209" s="60"/>
      <c r="K209" s="115"/>
    </row>
    <row r="210" spans="1:11" ht="12.75">
      <c r="A210" s="372"/>
      <c r="B210" s="372"/>
      <c r="C210" s="115"/>
      <c r="D210" s="115"/>
      <c r="E210" s="115"/>
      <c r="F210" s="60"/>
      <c r="G210" s="373"/>
      <c r="H210" s="60"/>
      <c r="I210" s="60"/>
      <c r="J210" s="60"/>
      <c r="K210" s="115"/>
    </row>
    <row r="211" spans="1:11" ht="12.75">
      <c r="A211" s="372"/>
      <c r="B211" s="372"/>
      <c r="C211" s="115"/>
      <c r="D211" s="115"/>
      <c r="E211" s="115"/>
      <c r="F211" s="60"/>
      <c r="G211" s="373"/>
      <c r="H211" s="60"/>
      <c r="I211" s="60"/>
      <c r="J211" s="60"/>
      <c r="K211" s="115"/>
    </row>
    <row r="212" spans="1:11" ht="12.75">
      <c r="A212" s="372"/>
      <c r="B212" s="372"/>
      <c r="C212" s="115"/>
      <c r="D212" s="115"/>
      <c r="E212" s="115"/>
      <c r="F212" s="60"/>
      <c r="G212" s="373"/>
      <c r="H212" s="60"/>
      <c r="I212" s="60"/>
      <c r="J212" s="60"/>
      <c r="K212" s="115"/>
    </row>
    <row r="213" spans="1:11" ht="12.75">
      <c r="A213" s="372"/>
      <c r="B213" s="372"/>
      <c r="C213" s="115"/>
      <c r="D213" s="115"/>
      <c r="E213" s="115"/>
      <c r="F213" s="60"/>
      <c r="G213" s="373"/>
      <c r="H213" s="60"/>
      <c r="I213" s="60"/>
      <c r="J213" s="60"/>
      <c r="K213" s="115"/>
    </row>
    <row r="214" spans="1:11" ht="12.75">
      <c r="A214" s="372"/>
      <c r="B214" s="372"/>
      <c r="C214" s="115"/>
      <c r="D214" s="115"/>
      <c r="E214" s="115"/>
      <c r="F214" s="60"/>
      <c r="G214" s="373"/>
      <c r="H214" s="60"/>
      <c r="I214" s="60"/>
      <c r="J214" s="60"/>
      <c r="K214" s="115"/>
    </row>
    <row r="215" spans="1:11" ht="12.75">
      <c r="A215" s="372"/>
      <c r="B215" s="372"/>
      <c r="C215" s="115"/>
      <c r="D215" s="115"/>
      <c r="E215" s="115"/>
      <c r="F215" s="60"/>
      <c r="G215" s="373"/>
      <c r="H215" s="60"/>
      <c r="I215" s="60"/>
      <c r="J215" s="60"/>
      <c r="K215" s="115"/>
    </row>
    <row r="216" spans="1:11" ht="12.75">
      <c r="A216" s="372"/>
      <c r="B216" s="372"/>
      <c r="C216" s="115"/>
      <c r="D216" s="115"/>
      <c r="E216" s="115"/>
      <c r="F216" s="60"/>
      <c r="G216" s="373"/>
      <c r="H216" s="60"/>
      <c r="I216" s="60"/>
      <c r="J216" s="60"/>
      <c r="K216" s="115"/>
    </row>
    <row r="217" spans="1:11" ht="12.75">
      <c r="A217" s="372"/>
      <c r="B217" s="372"/>
      <c r="C217" s="115"/>
      <c r="D217" s="115"/>
      <c r="E217" s="115"/>
      <c r="F217" s="60"/>
      <c r="G217" s="373"/>
      <c r="H217" s="60"/>
      <c r="I217" s="60"/>
      <c r="J217" s="60"/>
      <c r="K217" s="115"/>
    </row>
    <row r="218" spans="1:11" ht="12.75">
      <c r="A218" s="372"/>
      <c r="B218" s="372"/>
      <c r="C218" s="115"/>
      <c r="D218" s="115"/>
      <c r="E218" s="115"/>
      <c r="F218" s="60"/>
      <c r="G218" s="373"/>
      <c r="H218" s="60"/>
      <c r="I218" s="60"/>
      <c r="J218" s="60"/>
      <c r="K218" s="115"/>
    </row>
    <row r="219" spans="1:11" ht="12.75">
      <c r="A219" s="372"/>
      <c r="B219" s="372"/>
      <c r="C219" s="115"/>
      <c r="D219" s="115"/>
      <c r="E219" s="115"/>
      <c r="F219" s="60"/>
      <c r="G219" s="373"/>
      <c r="H219" s="60"/>
      <c r="I219" s="60"/>
      <c r="J219" s="60"/>
      <c r="K219" s="115"/>
    </row>
    <row r="220" spans="1:11" ht="12.75">
      <c r="A220" s="372"/>
      <c r="B220" s="372"/>
      <c r="C220" s="115"/>
      <c r="D220" s="115"/>
      <c r="E220" s="115"/>
      <c r="F220" s="60"/>
      <c r="G220" s="373"/>
      <c r="H220" s="60"/>
      <c r="I220" s="60"/>
      <c r="J220" s="60"/>
      <c r="K220" s="115"/>
    </row>
    <row r="221" spans="1:11" ht="12.75">
      <c r="A221" s="372"/>
      <c r="B221" s="372"/>
      <c r="C221" s="115"/>
      <c r="D221" s="115"/>
      <c r="E221" s="115"/>
      <c r="F221" s="60"/>
      <c r="G221" s="373"/>
      <c r="H221" s="60"/>
      <c r="I221" s="60"/>
      <c r="J221" s="60"/>
      <c r="K221" s="115"/>
    </row>
    <row r="222" spans="1:11" ht="12.75">
      <c r="A222" s="372"/>
      <c r="B222" s="372"/>
      <c r="C222" s="115"/>
      <c r="D222" s="115"/>
      <c r="E222" s="115"/>
      <c r="F222" s="60"/>
      <c r="G222" s="373"/>
      <c r="H222" s="60"/>
      <c r="I222" s="60"/>
      <c r="J222" s="60"/>
      <c r="K222" s="115"/>
    </row>
    <row r="223" spans="1:11" ht="12.75">
      <c r="A223" s="372"/>
      <c r="B223" s="372"/>
      <c r="C223" s="115"/>
      <c r="D223" s="115"/>
      <c r="E223" s="115"/>
      <c r="F223" s="60"/>
      <c r="G223" s="373"/>
      <c r="H223" s="60"/>
      <c r="I223" s="60"/>
      <c r="J223" s="60"/>
      <c r="K223" s="115"/>
    </row>
    <row r="224" spans="1:11" ht="12.75">
      <c r="A224" s="372"/>
      <c r="B224" s="372"/>
      <c r="C224" s="115"/>
      <c r="D224" s="115"/>
      <c r="E224" s="115"/>
      <c r="F224" s="60"/>
      <c r="G224" s="373"/>
      <c r="H224" s="60"/>
      <c r="I224" s="60"/>
      <c r="J224" s="60"/>
      <c r="K224" s="115"/>
    </row>
    <row r="225" spans="1:11" ht="12.75">
      <c r="A225" s="372"/>
      <c r="B225" s="372"/>
      <c r="C225" s="115"/>
      <c r="D225" s="115"/>
      <c r="E225" s="115"/>
      <c r="F225" s="60"/>
      <c r="G225" s="373"/>
      <c r="H225" s="60"/>
      <c r="I225" s="60"/>
      <c r="J225" s="60"/>
      <c r="K225" s="115"/>
    </row>
    <row r="226" spans="1:11" ht="12.75">
      <c r="A226" s="372"/>
      <c r="B226" s="372"/>
      <c r="C226" s="115"/>
      <c r="D226" s="115"/>
      <c r="E226" s="115"/>
      <c r="F226" s="60"/>
      <c r="G226" s="373"/>
      <c r="H226" s="60"/>
      <c r="I226" s="60"/>
      <c r="J226" s="60"/>
      <c r="K226" s="115"/>
    </row>
    <row r="227" spans="1:11" ht="12.75">
      <c r="A227" s="372"/>
      <c r="B227" s="372"/>
      <c r="C227" s="115"/>
      <c r="D227" s="115"/>
      <c r="E227" s="115"/>
      <c r="F227" s="60"/>
      <c r="G227" s="373"/>
      <c r="H227" s="60"/>
      <c r="I227" s="60"/>
      <c r="J227" s="60"/>
      <c r="K227" s="115"/>
    </row>
    <row r="228" spans="1:11" ht="12.75">
      <c r="A228" s="372"/>
      <c r="B228" s="372"/>
      <c r="C228" s="115"/>
      <c r="D228" s="115"/>
      <c r="E228" s="115"/>
      <c r="F228" s="60"/>
      <c r="G228" s="373"/>
      <c r="H228" s="60"/>
      <c r="I228" s="60"/>
      <c r="J228" s="60"/>
      <c r="K228" s="115"/>
    </row>
    <row r="229" spans="1:11" ht="12.75">
      <c r="A229" s="372"/>
      <c r="B229" s="372"/>
      <c r="C229" s="115"/>
      <c r="D229" s="115"/>
      <c r="E229" s="115"/>
      <c r="F229" s="60"/>
      <c r="G229" s="373"/>
      <c r="H229" s="60"/>
      <c r="I229" s="60"/>
      <c r="J229" s="60"/>
      <c r="K229" s="115"/>
    </row>
    <row r="230" spans="1:11" ht="12.75">
      <c r="A230" s="372"/>
      <c r="B230" s="372"/>
      <c r="C230" s="115"/>
      <c r="D230" s="115"/>
      <c r="E230" s="115"/>
      <c r="F230" s="60"/>
      <c r="G230" s="373"/>
      <c r="H230" s="60"/>
      <c r="I230" s="60"/>
      <c r="J230" s="60"/>
      <c r="K230" s="115"/>
    </row>
    <row r="231" spans="1:11" ht="12.75">
      <c r="A231" s="372"/>
      <c r="B231" s="372"/>
      <c r="C231" s="115"/>
      <c r="D231" s="115"/>
      <c r="E231" s="115"/>
      <c r="F231" s="60"/>
      <c r="G231" s="373"/>
      <c r="H231" s="60"/>
      <c r="I231" s="60"/>
      <c r="J231" s="60"/>
      <c r="K231" s="115"/>
    </row>
    <row r="232" spans="1:11" ht="12.75">
      <c r="A232" s="372"/>
      <c r="B232" s="372"/>
      <c r="C232" s="115"/>
      <c r="D232" s="115"/>
      <c r="E232" s="115"/>
      <c r="F232" s="60"/>
      <c r="G232" s="373"/>
      <c r="H232" s="60"/>
      <c r="I232" s="60"/>
      <c r="J232" s="60"/>
      <c r="K232" s="115"/>
    </row>
    <row r="233" spans="1:11" ht="12.75">
      <c r="A233" s="372"/>
      <c r="B233" s="372"/>
      <c r="C233" s="115"/>
      <c r="D233" s="115"/>
      <c r="E233" s="115"/>
      <c r="F233" s="60"/>
      <c r="G233" s="373"/>
      <c r="H233" s="60"/>
      <c r="I233" s="60"/>
      <c r="J233" s="60"/>
      <c r="K233" s="115"/>
    </row>
    <row r="234" spans="1:11" ht="12.75">
      <c r="A234" s="372"/>
      <c r="B234" s="372"/>
      <c r="C234" s="115"/>
      <c r="D234" s="115"/>
      <c r="E234" s="115"/>
      <c r="F234" s="60"/>
      <c r="G234" s="373"/>
      <c r="H234" s="60"/>
      <c r="I234" s="60"/>
      <c r="J234" s="60"/>
      <c r="K234" s="115"/>
    </row>
    <row r="235" spans="1:11" ht="12.75">
      <c r="A235" s="372"/>
      <c r="B235" s="372"/>
      <c r="C235" s="115"/>
      <c r="D235" s="115"/>
      <c r="E235" s="115"/>
      <c r="F235" s="60"/>
      <c r="G235" s="373"/>
      <c r="H235" s="60"/>
      <c r="I235" s="60"/>
      <c r="J235" s="60"/>
      <c r="K235" s="115"/>
    </row>
    <row r="236" spans="1:11" ht="12.75">
      <c r="A236" s="372"/>
      <c r="B236" s="372"/>
      <c r="C236" s="115"/>
      <c r="D236" s="115"/>
      <c r="E236" s="115"/>
      <c r="F236" s="60"/>
      <c r="G236" s="373"/>
      <c r="H236" s="60"/>
      <c r="I236" s="60"/>
      <c r="J236" s="60"/>
      <c r="K236" s="115"/>
    </row>
    <row r="237" spans="1:11" ht="12.75">
      <c r="A237" s="372"/>
      <c r="B237" s="372"/>
      <c r="C237" s="115"/>
      <c r="D237" s="115"/>
      <c r="E237" s="115"/>
      <c r="F237" s="60"/>
      <c r="G237" s="373"/>
      <c r="H237" s="60"/>
      <c r="I237" s="60"/>
      <c r="J237" s="60"/>
      <c r="K237" s="115"/>
    </row>
    <row r="238" spans="1:11" ht="12.75">
      <c r="A238" s="372"/>
      <c r="B238" s="372"/>
      <c r="C238" s="115"/>
      <c r="D238" s="115"/>
      <c r="E238" s="115"/>
      <c r="F238" s="60"/>
      <c r="G238" s="373"/>
      <c r="H238" s="60"/>
      <c r="I238" s="60"/>
      <c r="J238" s="60"/>
      <c r="K238" s="115"/>
    </row>
    <row r="239" spans="1:11" ht="12.75">
      <c r="A239" s="372"/>
      <c r="B239" s="372"/>
      <c r="C239" s="115"/>
      <c r="D239" s="115"/>
      <c r="E239" s="115"/>
      <c r="F239" s="60"/>
      <c r="G239" s="373"/>
      <c r="H239" s="60"/>
      <c r="I239" s="60"/>
      <c r="J239" s="60"/>
      <c r="K239" s="115"/>
    </row>
    <row r="240" spans="1:11" ht="12.75">
      <c r="A240" s="372"/>
      <c r="B240" s="372"/>
      <c r="C240" s="115"/>
      <c r="D240" s="115"/>
      <c r="E240" s="115"/>
      <c r="F240" s="60"/>
      <c r="G240" s="373"/>
      <c r="H240" s="60"/>
      <c r="I240" s="60"/>
      <c r="J240" s="60"/>
      <c r="K240" s="115"/>
    </row>
    <row r="241" spans="1:11" ht="12.75">
      <c r="A241" s="372"/>
      <c r="B241" s="372"/>
      <c r="C241" s="115"/>
      <c r="D241" s="115"/>
      <c r="E241" s="115"/>
      <c r="F241" s="60"/>
      <c r="G241" s="373"/>
      <c r="H241" s="60"/>
      <c r="I241" s="60"/>
      <c r="J241" s="60"/>
      <c r="K241" s="115"/>
    </row>
    <row r="242" spans="1:11" ht="12.75">
      <c r="A242" s="372"/>
      <c r="B242" s="372"/>
      <c r="C242" s="115"/>
      <c r="D242" s="115"/>
      <c r="E242" s="115"/>
      <c r="F242" s="60"/>
      <c r="G242" s="373"/>
      <c r="H242" s="60"/>
      <c r="I242" s="60"/>
      <c r="J242" s="60"/>
      <c r="K242" s="115"/>
    </row>
    <row r="243" spans="1:11" ht="12.75">
      <c r="A243" s="372"/>
      <c r="B243" s="372"/>
      <c r="C243" s="115"/>
      <c r="D243" s="115"/>
      <c r="E243" s="115"/>
      <c r="F243" s="60"/>
      <c r="G243" s="373"/>
      <c r="H243" s="60"/>
      <c r="I243" s="60"/>
      <c r="J243" s="60"/>
      <c r="K243" s="115"/>
    </row>
    <row r="244" spans="1:11" ht="12.75">
      <c r="A244" s="372"/>
      <c r="B244" s="372"/>
      <c r="C244" s="115"/>
      <c r="D244" s="115"/>
      <c r="E244" s="115"/>
      <c r="F244" s="60"/>
      <c r="G244" s="373"/>
      <c r="H244" s="60"/>
      <c r="I244" s="60"/>
      <c r="J244" s="60"/>
      <c r="K244" s="115"/>
    </row>
    <row r="245" spans="1:11" ht="12.75">
      <c r="A245" s="372"/>
      <c r="B245" s="372"/>
      <c r="C245" s="115"/>
      <c r="D245" s="115"/>
      <c r="E245" s="115"/>
      <c r="F245" s="60"/>
      <c r="G245" s="373"/>
      <c r="H245" s="60"/>
      <c r="I245" s="60"/>
      <c r="J245" s="60"/>
      <c r="K245" s="115"/>
    </row>
    <row r="246" spans="1:11" ht="12.75">
      <c r="A246" s="372"/>
      <c r="B246" s="372"/>
      <c r="C246" s="115"/>
      <c r="D246" s="115"/>
      <c r="E246" s="115"/>
      <c r="F246" s="60"/>
      <c r="G246" s="373"/>
      <c r="H246" s="60"/>
      <c r="I246" s="60"/>
      <c r="J246" s="60"/>
      <c r="K246" s="115"/>
    </row>
    <row r="247" spans="1:11" ht="12.75">
      <c r="A247" s="372"/>
      <c r="B247" s="372"/>
      <c r="C247" s="115"/>
      <c r="D247" s="115"/>
      <c r="E247" s="115"/>
      <c r="F247" s="60"/>
      <c r="G247" s="373"/>
      <c r="H247" s="60"/>
      <c r="I247" s="60"/>
      <c r="J247" s="60"/>
      <c r="K247" s="115"/>
    </row>
    <row r="248" spans="1:11" ht="12.75">
      <c r="A248" s="372"/>
      <c r="B248" s="372"/>
      <c r="C248" s="115"/>
      <c r="D248" s="115"/>
      <c r="E248" s="115"/>
      <c r="F248" s="60"/>
      <c r="G248" s="373"/>
      <c r="H248" s="60"/>
      <c r="I248" s="60"/>
      <c r="J248" s="60"/>
      <c r="K248" s="115"/>
    </row>
    <row r="249" spans="1:11" ht="12.75">
      <c r="A249" s="372"/>
      <c r="B249" s="372"/>
      <c r="C249" s="115"/>
      <c r="D249" s="115"/>
      <c r="E249" s="115"/>
      <c r="F249" s="60"/>
      <c r="G249" s="373"/>
      <c r="H249" s="60"/>
      <c r="I249" s="60"/>
      <c r="J249" s="60"/>
      <c r="K249" s="115"/>
    </row>
    <row r="250" spans="1:11" ht="12.75">
      <c r="A250" s="372"/>
      <c r="B250" s="372"/>
      <c r="C250" s="115"/>
      <c r="D250" s="115"/>
      <c r="E250" s="115"/>
      <c r="F250" s="60"/>
      <c r="G250" s="373"/>
      <c r="H250" s="60"/>
      <c r="I250" s="60"/>
      <c r="J250" s="60"/>
      <c r="K250" s="115"/>
    </row>
    <row r="251" spans="1:11" ht="12.75">
      <c r="A251" s="372"/>
      <c r="B251" s="372"/>
      <c r="C251" s="115"/>
      <c r="D251" s="115"/>
      <c r="E251" s="115"/>
      <c r="F251" s="60"/>
      <c r="G251" s="373"/>
      <c r="H251" s="60"/>
      <c r="I251" s="60"/>
      <c r="J251" s="60"/>
      <c r="K251" s="115"/>
    </row>
    <row r="252" spans="1:11" ht="12.75">
      <c r="A252" s="372"/>
      <c r="B252" s="372"/>
      <c r="C252" s="115"/>
      <c r="D252" s="115"/>
      <c r="E252" s="115"/>
      <c r="F252" s="60"/>
      <c r="G252" s="373"/>
      <c r="H252" s="60"/>
      <c r="I252" s="60"/>
      <c r="J252" s="60"/>
      <c r="K252" s="115"/>
    </row>
    <row r="253" spans="1:11" ht="12.75">
      <c r="A253" s="372"/>
      <c r="B253" s="372"/>
      <c r="C253" s="115"/>
      <c r="D253" s="115"/>
      <c r="E253" s="115"/>
      <c r="F253" s="60"/>
      <c r="G253" s="373"/>
      <c r="H253" s="60"/>
      <c r="I253" s="60"/>
      <c r="J253" s="60"/>
      <c r="K253" s="115"/>
    </row>
    <row r="254" spans="1:11" ht="12.75">
      <c r="A254" s="372"/>
      <c r="B254" s="372"/>
      <c r="C254" s="115"/>
      <c r="D254" s="115"/>
      <c r="E254" s="115"/>
      <c r="F254" s="60"/>
      <c r="G254" s="373"/>
      <c r="H254" s="60"/>
      <c r="I254" s="60"/>
      <c r="J254" s="60"/>
      <c r="K254" s="115"/>
    </row>
    <row r="255" spans="1:11" ht="12.75">
      <c r="A255" s="372"/>
      <c r="B255" s="372"/>
      <c r="C255" s="115"/>
      <c r="D255" s="115"/>
      <c r="E255" s="115"/>
      <c r="F255" s="60"/>
      <c r="G255" s="373"/>
      <c r="H255" s="60"/>
      <c r="I255" s="60"/>
      <c r="J255" s="60"/>
      <c r="K255" s="115"/>
    </row>
    <row r="256" spans="1:11" ht="12.75">
      <c r="A256" s="372"/>
      <c r="B256" s="372"/>
      <c r="C256" s="115"/>
      <c r="D256" s="115"/>
      <c r="E256" s="115"/>
      <c r="F256" s="60"/>
      <c r="G256" s="373"/>
      <c r="H256" s="60"/>
      <c r="I256" s="60"/>
      <c r="J256" s="60"/>
      <c r="K256" s="115"/>
    </row>
    <row r="257" spans="1:11" ht="12.75">
      <c r="A257" s="372"/>
      <c r="B257" s="372"/>
      <c r="C257" s="115"/>
      <c r="D257" s="115"/>
      <c r="E257" s="115"/>
      <c r="F257" s="60"/>
      <c r="G257" s="373"/>
      <c r="H257" s="60"/>
      <c r="I257" s="60"/>
      <c r="J257" s="60"/>
      <c r="K257" s="115"/>
    </row>
    <row r="258" spans="1:11" ht="12.75">
      <c r="A258" s="372"/>
      <c r="B258" s="372"/>
      <c r="C258" s="115"/>
      <c r="D258" s="115"/>
      <c r="E258" s="115"/>
      <c r="F258" s="60"/>
      <c r="G258" s="373"/>
      <c r="H258" s="60"/>
      <c r="I258" s="60"/>
      <c r="J258" s="60"/>
      <c r="K258" s="115"/>
    </row>
    <row r="259" spans="1:11" ht="12.75">
      <c r="A259" s="372"/>
      <c r="B259" s="372"/>
      <c r="C259" s="115"/>
      <c r="D259" s="115"/>
      <c r="E259" s="115"/>
      <c r="F259" s="60"/>
      <c r="G259" s="373"/>
      <c r="H259" s="60"/>
      <c r="I259" s="60"/>
      <c r="J259" s="60"/>
      <c r="K259" s="115"/>
    </row>
    <row r="260" spans="1:11" ht="12.75">
      <c r="A260" s="372"/>
      <c r="B260" s="372"/>
      <c r="C260" s="115"/>
      <c r="D260" s="115"/>
      <c r="E260" s="115"/>
      <c r="F260" s="60"/>
      <c r="G260" s="373"/>
      <c r="H260" s="60"/>
      <c r="I260" s="60"/>
      <c r="J260" s="60"/>
      <c r="K260" s="115"/>
    </row>
    <row r="261" spans="1:11" ht="12.75">
      <c r="A261" s="372"/>
      <c r="B261" s="372"/>
      <c r="C261" s="115"/>
      <c r="D261" s="115"/>
      <c r="E261" s="115"/>
      <c r="F261" s="60"/>
      <c r="G261" s="373"/>
      <c r="H261" s="60"/>
      <c r="I261" s="60"/>
      <c r="J261" s="60"/>
      <c r="K261" s="115"/>
    </row>
    <row r="262" spans="1:11" ht="12.75">
      <c r="A262" s="372"/>
      <c r="B262" s="372"/>
      <c r="C262" s="115"/>
      <c r="D262" s="115"/>
      <c r="E262" s="115"/>
      <c r="F262" s="60"/>
      <c r="G262" s="373"/>
      <c r="H262" s="60"/>
      <c r="I262" s="60"/>
      <c r="J262" s="60"/>
      <c r="K262" s="115"/>
    </row>
    <row r="263" spans="1:11" ht="12.75">
      <c r="A263" s="372"/>
      <c r="B263" s="372"/>
      <c r="C263" s="115"/>
      <c r="D263" s="115"/>
      <c r="E263" s="115"/>
      <c r="F263" s="60"/>
      <c r="G263" s="373"/>
      <c r="H263" s="60"/>
      <c r="I263" s="60"/>
      <c r="J263" s="60"/>
      <c r="K263" s="115"/>
    </row>
    <row r="264" spans="1:11" ht="12.75">
      <c r="A264" s="372"/>
      <c r="B264" s="372"/>
      <c r="C264" s="115"/>
      <c r="D264" s="115"/>
      <c r="E264" s="115"/>
      <c r="F264" s="60"/>
      <c r="G264" s="373"/>
      <c r="H264" s="60"/>
      <c r="I264" s="60"/>
      <c r="J264" s="60"/>
      <c r="K264" s="115"/>
    </row>
    <row r="265" spans="1:11" ht="12.75">
      <c r="A265" s="372"/>
      <c r="B265" s="372"/>
      <c r="C265" s="115"/>
      <c r="D265" s="115"/>
      <c r="E265" s="115"/>
      <c r="F265" s="60"/>
      <c r="G265" s="373"/>
      <c r="H265" s="60"/>
      <c r="I265" s="60"/>
      <c r="J265" s="60"/>
      <c r="K265" s="115"/>
    </row>
    <row r="266" spans="1:11" ht="12.75">
      <c r="A266" s="372"/>
      <c r="B266" s="372"/>
      <c r="C266" s="115"/>
      <c r="D266" s="115"/>
      <c r="E266" s="115"/>
      <c r="F266" s="60"/>
      <c r="G266" s="373"/>
      <c r="H266" s="60"/>
      <c r="I266" s="60"/>
      <c r="J266" s="60"/>
      <c r="K266" s="115"/>
    </row>
    <row r="267" spans="1:11" ht="12.75">
      <c r="A267" s="372"/>
      <c r="B267" s="372"/>
      <c r="C267" s="115"/>
      <c r="D267" s="115"/>
      <c r="E267" s="115"/>
      <c r="F267" s="60"/>
      <c r="G267" s="373"/>
      <c r="H267" s="60"/>
      <c r="I267" s="60"/>
      <c r="J267" s="60"/>
      <c r="K267" s="115"/>
    </row>
    <row r="268" spans="1:11" ht="12.75">
      <c r="A268" s="372"/>
      <c r="B268" s="372"/>
      <c r="C268" s="115"/>
      <c r="D268" s="115"/>
      <c r="E268" s="115"/>
      <c r="F268" s="60"/>
      <c r="G268" s="373"/>
      <c r="H268" s="60"/>
      <c r="I268" s="60"/>
      <c r="J268" s="60"/>
      <c r="K268" s="115"/>
    </row>
    <row r="269" spans="1:11" ht="12.75">
      <c r="A269" s="372"/>
      <c r="B269" s="372"/>
      <c r="C269" s="115"/>
      <c r="D269" s="115"/>
      <c r="E269" s="115"/>
      <c r="F269" s="60"/>
      <c r="G269" s="373"/>
      <c r="H269" s="60"/>
      <c r="I269" s="60"/>
      <c r="J269" s="60"/>
      <c r="K269" s="115"/>
    </row>
    <row r="270" spans="1:11" ht="12.75">
      <c r="A270" s="372"/>
      <c r="B270" s="372"/>
      <c r="C270" s="115"/>
      <c r="D270" s="115"/>
      <c r="E270" s="115"/>
      <c r="F270" s="60"/>
      <c r="G270" s="373"/>
      <c r="H270" s="60"/>
      <c r="I270" s="60"/>
      <c r="J270" s="60"/>
      <c r="K270" s="115"/>
    </row>
    <row r="271" spans="1:11" ht="12.75">
      <c r="A271" s="372"/>
      <c r="B271" s="372"/>
      <c r="C271" s="115"/>
      <c r="D271" s="115"/>
      <c r="E271" s="115"/>
      <c r="F271" s="60"/>
      <c r="G271" s="373"/>
      <c r="H271" s="60"/>
      <c r="I271" s="60"/>
      <c r="J271" s="60"/>
      <c r="K271" s="115"/>
    </row>
    <row r="272" spans="1:11" ht="12.75">
      <c r="A272" s="372"/>
      <c r="B272" s="372"/>
      <c r="C272" s="115"/>
      <c r="D272" s="115"/>
      <c r="E272" s="115"/>
      <c r="F272" s="60"/>
      <c r="G272" s="373"/>
      <c r="H272" s="60"/>
      <c r="I272" s="60"/>
      <c r="J272" s="60"/>
      <c r="K272" s="115"/>
    </row>
    <row r="273" spans="1:11" ht="12.75">
      <c r="A273" s="372"/>
      <c r="B273" s="372"/>
      <c r="C273" s="115"/>
      <c r="D273" s="115"/>
      <c r="E273" s="115"/>
      <c r="F273" s="60"/>
      <c r="G273" s="373"/>
      <c r="H273" s="60"/>
      <c r="I273" s="60"/>
      <c r="J273" s="60"/>
      <c r="K273" s="115"/>
    </row>
    <row r="274" spans="1:11" ht="12.75">
      <c r="A274" s="372"/>
      <c r="B274" s="372"/>
      <c r="C274" s="115"/>
      <c r="D274" s="115"/>
      <c r="E274" s="115"/>
      <c r="F274" s="60"/>
      <c r="G274" s="373"/>
      <c r="H274" s="60"/>
      <c r="I274" s="60"/>
      <c r="J274" s="60"/>
      <c r="K274" s="115"/>
    </row>
    <row r="275" spans="1:11" ht="12.75">
      <c r="A275" s="372"/>
      <c r="B275" s="372"/>
      <c r="C275" s="115"/>
      <c r="D275" s="115"/>
      <c r="E275" s="115"/>
      <c r="F275" s="60"/>
      <c r="G275" s="373"/>
      <c r="H275" s="60"/>
      <c r="I275" s="60"/>
      <c r="J275" s="60"/>
      <c r="K275" s="115"/>
    </row>
    <row r="276" spans="1:11" ht="12.75">
      <c r="A276" s="372"/>
      <c r="B276" s="372"/>
      <c r="C276" s="115"/>
      <c r="D276" s="115"/>
      <c r="E276" s="115"/>
      <c r="F276" s="60"/>
      <c r="G276" s="373"/>
      <c r="H276" s="60"/>
      <c r="I276" s="60"/>
      <c r="J276" s="60"/>
      <c r="K276" s="115"/>
    </row>
    <row r="277" spans="1:11" ht="12.75">
      <c r="A277" s="372"/>
      <c r="B277" s="372"/>
      <c r="C277" s="115"/>
      <c r="D277" s="115"/>
      <c r="E277" s="115"/>
      <c r="F277" s="60"/>
      <c r="G277" s="373"/>
      <c r="H277" s="60"/>
      <c r="I277" s="60"/>
      <c r="J277" s="60"/>
      <c r="K277" s="115"/>
    </row>
    <row r="278" spans="1:11" ht="12.75">
      <c r="A278" s="372"/>
      <c r="B278" s="372"/>
      <c r="C278" s="115"/>
      <c r="D278" s="115"/>
      <c r="E278" s="115"/>
      <c r="F278" s="60"/>
      <c r="G278" s="373"/>
      <c r="H278" s="60"/>
      <c r="I278" s="60"/>
      <c r="J278" s="60"/>
      <c r="K278" s="115"/>
    </row>
    <row r="279" spans="1:11" ht="12.75">
      <c r="A279" s="372"/>
      <c r="B279" s="372"/>
      <c r="C279" s="115"/>
      <c r="D279" s="115"/>
      <c r="E279" s="115"/>
      <c r="F279" s="60"/>
      <c r="G279" s="373"/>
      <c r="H279" s="60"/>
      <c r="I279" s="60"/>
      <c r="J279" s="60"/>
      <c r="K279" s="115"/>
    </row>
    <row r="280" spans="1:11" ht="12.75">
      <c r="A280" s="372"/>
      <c r="B280" s="372"/>
      <c r="C280" s="115"/>
      <c r="D280" s="115"/>
      <c r="E280" s="115"/>
      <c r="F280" s="60"/>
      <c r="G280" s="373"/>
      <c r="H280" s="60"/>
      <c r="I280" s="60"/>
      <c r="J280" s="60"/>
      <c r="K280" s="115"/>
    </row>
    <row r="281" spans="1:11" ht="12.75">
      <c r="A281" s="372"/>
      <c r="B281" s="372"/>
      <c r="C281" s="115"/>
      <c r="D281" s="115"/>
      <c r="E281" s="115"/>
      <c r="F281" s="60"/>
      <c r="G281" s="373"/>
      <c r="H281" s="60"/>
      <c r="I281" s="60"/>
      <c r="J281" s="60"/>
      <c r="K281" s="115"/>
    </row>
    <row r="282" spans="1:11" ht="12.75">
      <c r="A282" s="372"/>
      <c r="B282" s="372"/>
      <c r="C282" s="115"/>
      <c r="D282" s="115"/>
      <c r="E282" s="115"/>
      <c r="F282" s="60"/>
      <c r="G282" s="373"/>
      <c r="H282" s="60"/>
      <c r="I282" s="60"/>
      <c r="J282" s="60"/>
      <c r="K282" s="115"/>
    </row>
    <row r="283" spans="1:11" ht="12.75">
      <c r="A283" s="372"/>
      <c r="B283" s="372"/>
      <c r="C283" s="115"/>
      <c r="D283" s="115"/>
      <c r="E283" s="115"/>
      <c r="F283" s="60"/>
      <c r="G283" s="373"/>
      <c r="H283" s="60"/>
      <c r="I283" s="60"/>
      <c r="J283" s="60"/>
      <c r="K283" s="115"/>
    </row>
    <row r="284" spans="1:11" ht="12.75">
      <c r="A284" s="372"/>
      <c r="B284" s="372"/>
      <c r="C284" s="115"/>
      <c r="D284" s="115"/>
      <c r="E284" s="115"/>
      <c r="F284" s="60"/>
      <c r="G284" s="373"/>
      <c r="H284" s="60"/>
      <c r="I284" s="60"/>
      <c r="J284" s="60"/>
      <c r="K284" s="115"/>
    </row>
    <row r="285" spans="1:11" ht="12.75">
      <c r="A285" s="372"/>
      <c r="B285" s="372"/>
      <c r="C285" s="115"/>
      <c r="D285" s="115"/>
      <c r="E285" s="115"/>
      <c r="F285" s="60"/>
      <c r="G285" s="373"/>
      <c r="H285" s="60"/>
      <c r="I285" s="60"/>
      <c r="J285" s="60"/>
      <c r="K285" s="115"/>
    </row>
    <row r="286" spans="1:11" ht="12.75">
      <c r="A286" s="372"/>
      <c r="B286" s="372"/>
      <c r="C286" s="115"/>
      <c r="D286" s="115"/>
      <c r="E286" s="115"/>
      <c r="F286" s="60"/>
      <c r="G286" s="373"/>
      <c r="H286" s="60"/>
      <c r="I286" s="60"/>
      <c r="J286" s="60"/>
      <c r="K286" s="115"/>
    </row>
    <row r="287" spans="1:11" ht="12.75">
      <c r="A287" s="372"/>
      <c r="B287" s="372"/>
      <c r="C287" s="115"/>
      <c r="D287" s="115"/>
      <c r="E287" s="115"/>
      <c r="F287" s="60"/>
      <c r="G287" s="373"/>
      <c r="H287" s="60"/>
      <c r="I287" s="60"/>
      <c r="J287" s="60"/>
      <c r="K287" s="115"/>
    </row>
    <row r="288" spans="1:11" ht="12.75">
      <c r="A288" s="372"/>
      <c r="B288" s="372"/>
      <c r="C288" s="115"/>
      <c r="D288" s="115"/>
      <c r="E288" s="115"/>
      <c r="F288" s="60"/>
      <c r="G288" s="373"/>
      <c r="H288" s="60"/>
      <c r="I288" s="60"/>
      <c r="J288" s="60"/>
      <c r="K288" s="115"/>
    </row>
    <row r="289" spans="1:11" ht="12.75">
      <c r="A289" s="372"/>
      <c r="B289" s="372"/>
      <c r="C289" s="115"/>
      <c r="D289" s="115"/>
      <c r="E289" s="115"/>
      <c r="F289" s="60"/>
      <c r="G289" s="373"/>
      <c r="H289" s="60"/>
      <c r="I289" s="60"/>
      <c r="J289" s="60"/>
      <c r="K289" s="115"/>
    </row>
    <row r="290" spans="1:11" ht="12.75">
      <c r="A290" s="372"/>
      <c r="B290" s="372"/>
      <c r="C290" s="115"/>
      <c r="D290" s="115"/>
      <c r="E290" s="115"/>
      <c r="F290" s="60"/>
      <c r="G290" s="373"/>
      <c r="H290" s="60"/>
      <c r="I290" s="60"/>
      <c r="J290" s="60"/>
      <c r="K290" s="115"/>
    </row>
    <row r="291" spans="1:11" ht="12.75">
      <c r="A291" s="372"/>
      <c r="B291" s="372"/>
      <c r="C291" s="115"/>
      <c r="D291" s="115"/>
      <c r="E291" s="115"/>
      <c r="F291" s="60"/>
      <c r="G291" s="373"/>
      <c r="H291" s="60"/>
      <c r="I291" s="60"/>
      <c r="J291" s="60"/>
      <c r="K291" s="115"/>
    </row>
    <row r="292" spans="1:11" ht="12.75">
      <c r="A292" s="372"/>
      <c r="B292" s="372"/>
      <c r="C292" s="115"/>
      <c r="D292" s="115"/>
      <c r="E292" s="115"/>
      <c r="F292" s="60"/>
      <c r="G292" s="373"/>
      <c r="H292" s="60"/>
      <c r="I292" s="60"/>
      <c r="J292" s="60"/>
      <c r="K292" s="115"/>
    </row>
    <row r="293" spans="1:11" ht="12.75">
      <c r="A293" s="372"/>
      <c r="B293" s="372"/>
      <c r="C293" s="115"/>
      <c r="D293" s="115"/>
      <c r="E293" s="115"/>
      <c r="F293" s="60"/>
      <c r="G293" s="373"/>
      <c r="H293" s="60"/>
      <c r="I293" s="60"/>
      <c r="J293" s="60"/>
      <c r="K293" s="115"/>
    </row>
    <row r="294" spans="1:11" ht="12.75">
      <c r="A294" s="372"/>
      <c r="B294" s="372"/>
      <c r="C294" s="115"/>
      <c r="D294" s="115"/>
      <c r="E294" s="115"/>
      <c r="F294" s="60"/>
      <c r="G294" s="373"/>
      <c r="H294" s="60"/>
      <c r="I294" s="60"/>
      <c r="J294" s="60"/>
      <c r="K294" s="115"/>
    </row>
    <row r="295" spans="1:11" ht="12.75">
      <c r="A295" s="372"/>
      <c r="B295" s="372"/>
      <c r="C295" s="115"/>
      <c r="D295" s="115"/>
      <c r="E295" s="115"/>
      <c r="F295" s="60"/>
      <c r="G295" s="373"/>
      <c r="H295" s="60"/>
      <c r="I295" s="60"/>
      <c r="J295" s="60"/>
      <c r="K295" s="115"/>
    </row>
    <row r="296" spans="1:11" ht="12.75">
      <c r="A296" s="372"/>
      <c r="B296" s="372"/>
      <c r="C296" s="115"/>
      <c r="D296" s="115"/>
      <c r="E296" s="115"/>
      <c r="F296" s="60"/>
      <c r="G296" s="373"/>
      <c r="H296" s="60"/>
      <c r="I296" s="60"/>
      <c r="J296" s="60"/>
      <c r="K296" s="115"/>
    </row>
    <row r="297" spans="1:11" ht="12.75">
      <c r="A297" s="372"/>
      <c r="B297" s="372"/>
      <c r="C297" s="115"/>
      <c r="D297" s="115"/>
      <c r="E297" s="115"/>
      <c r="F297" s="60"/>
      <c r="G297" s="373"/>
      <c r="H297" s="60"/>
      <c r="I297" s="60"/>
      <c r="J297" s="60"/>
      <c r="K297" s="115"/>
    </row>
    <row r="298" spans="1:11" ht="12.75">
      <c r="A298" s="372"/>
      <c r="B298" s="372"/>
      <c r="C298" s="115"/>
      <c r="D298" s="115"/>
      <c r="E298" s="115"/>
      <c r="F298" s="60"/>
      <c r="G298" s="373"/>
      <c r="H298" s="60"/>
      <c r="I298" s="60"/>
      <c r="J298" s="60"/>
      <c r="K298" s="115"/>
    </row>
    <row r="299" spans="1:11" ht="12.75">
      <c r="A299" s="372"/>
      <c r="B299" s="372"/>
      <c r="C299" s="115"/>
      <c r="D299" s="115"/>
      <c r="E299" s="115"/>
      <c r="F299" s="60"/>
      <c r="G299" s="373"/>
      <c r="H299" s="60"/>
      <c r="I299" s="60"/>
      <c r="J299" s="60"/>
      <c r="K299" s="115"/>
    </row>
    <row r="300" spans="1:11" ht="12.75">
      <c r="A300" s="372"/>
      <c r="B300" s="372"/>
      <c r="C300" s="115"/>
      <c r="D300" s="115"/>
      <c r="E300" s="115"/>
      <c r="F300" s="60"/>
      <c r="G300" s="373"/>
      <c r="H300" s="60"/>
      <c r="I300" s="60"/>
      <c r="J300" s="60"/>
      <c r="K300" s="115"/>
    </row>
    <row r="301" spans="1:11" ht="12.75">
      <c r="A301" s="372"/>
      <c r="B301" s="372"/>
      <c r="C301" s="115"/>
      <c r="D301" s="115"/>
      <c r="E301" s="115"/>
      <c r="F301" s="60"/>
      <c r="G301" s="373"/>
      <c r="H301" s="60"/>
      <c r="I301" s="60"/>
      <c r="J301" s="60"/>
      <c r="K301" s="115"/>
    </row>
    <row r="302" spans="1:11" ht="12.75">
      <c r="A302" s="372"/>
      <c r="B302" s="372"/>
      <c r="C302" s="115"/>
      <c r="D302" s="115"/>
      <c r="E302" s="115"/>
      <c r="F302" s="60"/>
      <c r="G302" s="373"/>
      <c r="H302" s="60"/>
      <c r="I302" s="60"/>
      <c r="J302" s="60"/>
      <c r="K302" s="115"/>
    </row>
    <row r="303" spans="1:11" ht="12.75">
      <c r="A303" s="372"/>
      <c r="B303" s="372"/>
      <c r="C303" s="115"/>
      <c r="D303" s="115"/>
      <c r="E303" s="115"/>
      <c r="F303" s="60"/>
      <c r="G303" s="373"/>
      <c r="H303" s="60"/>
      <c r="I303" s="60"/>
      <c r="J303" s="60"/>
      <c r="K303" s="115"/>
    </row>
    <row r="304" spans="1:11" ht="12.75">
      <c r="A304" s="372"/>
      <c r="B304" s="372"/>
      <c r="C304" s="115"/>
      <c r="D304" s="115"/>
      <c r="E304" s="115"/>
      <c r="F304" s="60"/>
      <c r="G304" s="373"/>
      <c r="H304" s="60"/>
      <c r="I304" s="60"/>
      <c r="J304" s="60"/>
      <c r="K304" s="115"/>
    </row>
    <row r="305" spans="1:11" ht="12.75">
      <c r="A305" s="372"/>
      <c r="B305" s="372"/>
      <c r="C305" s="115"/>
      <c r="D305" s="115"/>
      <c r="E305" s="115"/>
      <c r="F305" s="60"/>
      <c r="G305" s="373"/>
      <c r="H305" s="60"/>
      <c r="I305" s="60"/>
      <c r="J305" s="60"/>
      <c r="K305" s="115"/>
    </row>
    <row r="306" spans="1:11" ht="12.75">
      <c r="A306" s="372"/>
      <c r="B306" s="372"/>
      <c r="C306" s="115"/>
      <c r="D306" s="115"/>
      <c r="E306" s="115"/>
      <c r="F306" s="60"/>
      <c r="G306" s="373"/>
      <c r="H306" s="60"/>
      <c r="I306" s="60"/>
      <c r="J306" s="60"/>
      <c r="K306" s="115"/>
    </row>
    <row r="307" spans="1:11" ht="12.75">
      <c r="A307" s="372"/>
      <c r="B307" s="372"/>
      <c r="C307" s="115"/>
      <c r="D307" s="115"/>
      <c r="E307" s="115"/>
      <c r="F307" s="60"/>
      <c r="G307" s="373"/>
      <c r="H307" s="60"/>
      <c r="I307" s="60"/>
      <c r="J307" s="60"/>
      <c r="K307" s="115"/>
    </row>
    <row r="308" spans="1:11" ht="12.75">
      <c r="A308" s="372"/>
      <c r="B308" s="372"/>
      <c r="C308" s="115"/>
      <c r="D308" s="115"/>
      <c r="E308" s="115"/>
      <c r="F308" s="60"/>
      <c r="G308" s="373"/>
      <c r="H308" s="60"/>
      <c r="I308" s="60"/>
      <c r="J308" s="60"/>
      <c r="K308" s="115"/>
    </row>
    <row r="309" spans="1:11" ht="12.75">
      <c r="A309" s="372"/>
      <c r="B309" s="372"/>
      <c r="C309" s="115"/>
      <c r="D309" s="115"/>
      <c r="E309" s="115"/>
      <c r="F309" s="60"/>
      <c r="G309" s="373"/>
      <c r="H309" s="60"/>
      <c r="I309" s="60"/>
      <c r="J309" s="60"/>
      <c r="K309" s="115"/>
    </row>
    <row r="310" spans="1:11" ht="12.75">
      <c r="A310" s="372"/>
      <c r="B310" s="372"/>
      <c r="C310" s="115"/>
      <c r="D310" s="115"/>
      <c r="E310" s="115"/>
      <c r="F310" s="60"/>
      <c r="G310" s="373"/>
      <c r="H310" s="60"/>
      <c r="I310" s="60"/>
      <c r="J310" s="60"/>
      <c r="K310" s="115"/>
    </row>
    <row r="311" spans="1:11" ht="12.75">
      <c r="A311" s="372"/>
      <c r="B311" s="372"/>
      <c r="C311" s="115"/>
      <c r="D311" s="115"/>
      <c r="E311" s="115"/>
      <c r="F311" s="60"/>
      <c r="G311" s="373"/>
      <c r="H311" s="60"/>
      <c r="I311" s="60"/>
      <c r="J311" s="60"/>
      <c r="K311" s="115"/>
    </row>
    <row r="312" spans="1:11" ht="12.75">
      <c r="A312" s="372"/>
      <c r="B312" s="372"/>
      <c r="C312" s="115"/>
      <c r="D312" s="115"/>
      <c r="E312" s="115"/>
      <c r="F312" s="60"/>
      <c r="G312" s="373"/>
      <c r="H312" s="60"/>
      <c r="I312" s="60"/>
      <c r="J312" s="60"/>
      <c r="K312" s="115"/>
    </row>
    <row r="313" spans="1:11" ht="12.75">
      <c r="A313" s="372"/>
      <c r="B313" s="372"/>
      <c r="C313" s="115"/>
      <c r="D313" s="115"/>
      <c r="E313" s="115"/>
      <c r="F313" s="60"/>
      <c r="G313" s="373"/>
      <c r="H313" s="60"/>
      <c r="I313" s="60"/>
      <c r="J313" s="60"/>
      <c r="K313" s="115"/>
    </row>
    <row r="314" spans="1:11" ht="12.75">
      <c r="A314" s="372"/>
      <c r="B314" s="372"/>
      <c r="C314" s="115"/>
      <c r="D314" s="115"/>
      <c r="E314" s="115"/>
      <c r="F314" s="60"/>
      <c r="G314" s="373"/>
      <c r="H314" s="60"/>
      <c r="I314" s="60"/>
      <c r="J314" s="60"/>
      <c r="K314" s="115"/>
    </row>
    <row r="315" spans="1:11" ht="12.75">
      <c r="A315" s="372"/>
      <c r="B315" s="372"/>
      <c r="C315" s="115"/>
      <c r="D315" s="115"/>
      <c r="E315" s="115"/>
      <c r="F315" s="60"/>
      <c r="G315" s="373"/>
      <c r="H315" s="60"/>
      <c r="I315" s="60"/>
      <c r="J315" s="60"/>
      <c r="K315" s="115"/>
    </row>
    <row r="316" spans="1:11" ht="12.75">
      <c r="A316" s="372"/>
      <c r="B316" s="372"/>
      <c r="C316" s="115"/>
      <c r="D316" s="115"/>
      <c r="E316" s="115"/>
      <c r="F316" s="60"/>
      <c r="G316" s="373"/>
      <c r="H316" s="60"/>
      <c r="I316" s="60"/>
      <c r="J316" s="60"/>
      <c r="K316" s="115"/>
    </row>
    <row r="317" spans="1:11" ht="12.75">
      <c r="A317" s="372"/>
      <c r="B317" s="372"/>
      <c r="C317" s="115"/>
      <c r="D317" s="115"/>
      <c r="E317" s="115"/>
      <c r="F317" s="60"/>
      <c r="G317" s="373"/>
      <c r="H317" s="60"/>
      <c r="I317" s="60"/>
      <c r="J317" s="60"/>
      <c r="K317" s="115"/>
    </row>
    <row r="318" spans="1:11" ht="12.75">
      <c r="A318" s="372"/>
      <c r="B318" s="372"/>
      <c r="C318" s="115"/>
      <c r="D318" s="115"/>
      <c r="E318" s="115"/>
      <c r="F318" s="60"/>
      <c r="G318" s="373"/>
      <c r="H318" s="60"/>
      <c r="I318" s="60"/>
      <c r="J318" s="60"/>
      <c r="K318" s="115"/>
    </row>
    <row r="319" spans="1:11" ht="12.75">
      <c r="A319" s="372"/>
      <c r="B319" s="372"/>
      <c r="C319" s="115"/>
      <c r="D319" s="115"/>
      <c r="E319" s="115"/>
      <c r="F319" s="60"/>
      <c r="G319" s="373"/>
      <c r="H319" s="60"/>
      <c r="I319" s="60"/>
      <c r="J319" s="60"/>
      <c r="K319" s="115"/>
    </row>
    <row r="320" spans="1:11" ht="12.75">
      <c r="A320" s="372"/>
      <c r="B320" s="372"/>
      <c r="C320" s="115"/>
      <c r="D320" s="115"/>
      <c r="E320" s="115"/>
      <c r="F320" s="60"/>
      <c r="G320" s="373"/>
      <c r="H320" s="60"/>
      <c r="I320" s="60"/>
      <c r="J320" s="60"/>
      <c r="K320" s="115"/>
    </row>
    <row r="321" spans="1:11" ht="12.75">
      <c r="A321" s="372"/>
      <c r="B321" s="372"/>
      <c r="C321" s="115"/>
      <c r="D321" s="115"/>
      <c r="E321" s="115"/>
      <c r="F321" s="60"/>
      <c r="G321" s="373"/>
      <c r="H321" s="60"/>
      <c r="I321" s="60"/>
      <c r="J321" s="60"/>
      <c r="K321" s="115"/>
    </row>
    <row r="322" spans="1:11" ht="12.75">
      <c r="A322" s="372"/>
      <c r="B322" s="372"/>
      <c r="C322" s="115"/>
      <c r="D322" s="115"/>
      <c r="E322" s="115"/>
      <c r="F322" s="60"/>
      <c r="G322" s="373"/>
      <c r="H322" s="60"/>
      <c r="I322" s="60"/>
      <c r="J322" s="60"/>
      <c r="K322" s="115"/>
    </row>
    <row r="323" spans="1:11" ht="12.75">
      <c r="A323" s="372"/>
      <c r="B323" s="372"/>
      <c r="C323" s="115"/>
      <c r="D323" s="115"/>
      <c r="E323" s="115"/>
      <c r="F323" s="60"/>
      <c r="G323" s="373"/>
      <c r="H323" s="60"/>
      <c r="I323" s="60"/>
      <c r="J323" s="60"/>
      <c r="K323" s="115"/>
    </row>
    <row r="324" spans="1:11" ht="12.75">
      <c r="A324" s="372"/>
      <c r="B324" s="372"/>
      <c r="C324" s="115"/>
      <c r="D324" s="115"/>
      <c r="E324" s="115"/>
      <c r="F324" s="60"/>
      <c r="G324" s="373"/>
      <c r="H324" s="60"/>
      <c r="I324" s="60"/>
      <c r="J324" s="60"/>
      <c r="K324" s="115"/>
    </row>
    <row r="325" spans="1:11" ht="12.75">
      <c r="A325" s="372"/>
      <c r="B325" s="372"/>
      <c r="C325" s="115"/>
      <c r="D325" s="115"/>
      <c r="E325" s="115"/>
      <c r="F325" s="60"/>
      <c r="G325" s="373"/>
      <c r="H325" s="60"/>
      <c r="I325" s="60"/>
      <c r="J325" s="60"/>
      <c r="K325" s="115"/>
    </row>
    <row r="326" spans="1:11" ht="12.75">
      <c r="A326" s="372"/>
      <c r="B326" s="372"/>
      <c r="C326" s="115"/>
      <c r="D326" s="115"/>
      <c r="E326" s="115"/>
      <c r="F326" s="60"/>
      <c r="G326" s="373"/>
      <c r="H326" s="60"/>
      <c r="I326" s="60"/>
      <c r="J326" s="60"/>
      <c r="K326" s="115"/>
    </row>
    <row r="327" spans="1:11" ht="12.75">
      <c r="A327" s="372"/>
      <c r="B327" s="372"/>
      <c r="C327" s="115"/>
      <c r="D327" s="115"/>
      <c r="E327" s="115"/>
      <c r="F327" s="60"/>
      <c r="G327" s="373"/>
      <c r="H327" s="60"/>
      <c r="I327" s="60"/>
      <c r="J327" s="60"/>
      <c r="K327" s="115"/>
    </row>
    <row r="328" spans="1:11" ht="12.75">
      <c r="A328" s="372"/>
      <c r="B328" s="372"/>
      <c r="C328" s="115"/>
      <c r="D328" s="115"/>
      <c r="E328" s="115"/>
      <c r="F328" s="60"/>
      <c r="G328" s="373"/>
      <c r="H328" s="60"/>
      <c r="I328" s="60"/>
      <c r="J328" s="60"/>
      <c r="K328" s="115"/>
    </row>
    <row r="329" spans="1:11" ht="12.75">
      <c r="A329" s="372"/>
      <c r="B329" s="372"/>
      <c r="C329" s="115"/>
      <c r="D329" s="115"/>
      <c r="E329" s="115"/>
      <c r="F329" s="60"/>
      <c r="G329" s="373"/>
      <c r="H329" s="60"/>
      <c r="I329" s="60"/>
      <c r="J329" s="60"/>
      <c r="K329" s="115"/>
    </row>
    <row r="330" spans="1:11" ht="12.75">
      <c r="A330" s="372"/>
      <c r="B330" s="372"/>
      <c r="C330" s="115"/>
      <c r="D330" s="115"/>
      <c r="E330" s="115"/>
      <c r="F330" s="60"/>
      <c r="G330" s="373"/>
      <c r="H330" s="60"/>
      <c r="I330" s="60"/>
      <c r="J330" s="60"/>
      <c r="K330" s="115"/>
    </row>
    <row r="331" spans="1:11" ht="12.75">
      <c r="A331" s="372"/>
      <c r="B331" s="372"/>
      <c r="C331" s="115"/>
      <c r="D331" s="115"/>
      <c r="E331" s="115"/>
      <c r="F331" s="60"/>
      <c r="G331" s="373"/>
      <c r="H331" s="60"/>
      <c r="I331" s="60"/>
      <c r="J331" s="60"/>
      <c r="K331" s="115"/>
    </row>
    <row r="332" spans="1:11" ht="12.75">
      <c r="A332" s="372"/>
      <c r="B332" s="372"/>
      <c r="C332" s="115"/>
      <c r="D332" s="115"/>
      <c r="E332" s="115"/>
      <c r="F332" s="60"/>
      <c r="G332" s="373"/>
      <c r="H332" s="60"/>
      <c r="I332" s="60"/>
      <c r="J332" s="60"/>
      <c r="K332" s="115"/>
    </row>
    <row r="333" spans="1:11" ht="12.75">
      <c r="A333" s="372"/>
      <c r="B333" s="372"/>
      <c r="C333" s="115"/>
      <c r="D333" s="115"/>
      <c r="E333" s="115"/>
      <c r="F333" s="60"/>
      <c r="G333" s="373"/>
      <c r="H333" s="60"/>
      <c r="I333" s="60"/>
      <c r="J333" s="60"/>
      <c r="K333" s="115"/>
    </row>
    <row r="334" spans="1:11" ht="12.75">
      <c r="A334" s="372"/>
      <c r="B334" s="372"/>
      <c r="C334" s="115"/>
      <c r="D334" s="115"/>
      <c r="E334" s="115"/>
      <c r="F334" s="60"/>
      <c r="G334" s="373"/>
      <c r="H334" s="60"/>
      <c r="I334" s="60"/>
      <c r="J334" s="60"/>
      <c r="K334" s="115"/>
    </row>
    <row r="335" spans="1:11" ht="12.75">
      <c r="A335" s="372"/>
      <c r="B335" s="372"/>
      <c r="C335" s="115"/>
      <c r="D335" s="115"/>
      <c r="E335" s="115"/>
      <c r="F335" s="60"/>
      <c r="G335" s="373"/>
      <c r="H335" s="60"/>
      <c r="I335" s="60"/>
      <c r="J335" s="60"/>
      <c r="K335" s="115"/>
    </row>
    <row r="336" spans="1:11" ht="12.75">
      <c r="A336" s="372"/>
      <c r="B336" s="372"/>
      <c r="C336" s="115"/>
      <c r="D336" s="115"/>
      <c r="E336" s="115"/>
      <c r="F336" s="60"/>
      <c r="G336" s="373"/>
      <c r="H336" s="60"/>
      <c r="I336" s="60"/>
      <c r="J336" s="60"/>
      <c r="K336" s="115"/>
    </row>
    <row r="337" spans="1:11" ht="12.75">
      <c r="A337" s="372"/>
      <c r="B337" s="372"/>
      <c r="C337" s="115"/>
      <c r="D337" s="115"/>
      <c r="E337" s="115"/>
      <c r="F337" s="60"/>
      <c r="G337" s="373"/>
      <c r="H337" s="60"/>
      <c r="I337" s="60"/>
      <c r="J337" s="60"/>
      <c r="K337" s="115"/>
    </row>
    <row r="338" spans="1:11" ht="12.75">
      <c r="A338" s="372"/>
      <c r="B338" s="372"/>
      <c r="C338" s="115"/>
      <c r="D338" s="115"/>
      <c r="E338" s="115"/>
      <c r="F338" s="60"/>
      <c r="G338" s="373"/>
      <c r="H338" s="60"/>
      <c r="I338" s="60"/>
      <c r="J338" s="60"/>
      <c r="K338" s="115"/>
    </row>
    <row r="339" spans="1:11" ht="12.75">
      <c r="A339" s="372"/>
      <c r="B339" s="372"/>
      <c r="C339" s="115"/>
      <c r="D339" s="115"/>
      <c r="E339" s="115"/>
      <c r="F339" s="60"/>
      <c r="G339" s="373"/>
      <c r="H339" s="60"/>
      <c r="I339" s="60"/>
      <c r="J339" s="60"/>
      <c r="K339" s="115"/>
    </row>
    <row r="340" spans="1:11" ht="12.75">
      <c r="A340" s="372"/>
      <c r="B340" s="372"/>
      <c r="C340" s="115"/>
      <c r="D340" s="115"/>
      <c r="E340" s="115"/>
      <c r="F340" s="60"/>
      <c r="G340" s="373"/>
      <c r="H340" s="60"/>
      <c r="I340" s="60"/>
      <c r="J340" s="60"/>
      <c r="K340" s="115"/>
    </row>
    <row r="341" spans="1:11" ht="12.75">
      <c r="A341" s="372"/>
      <c r="B341" s="372"/>
      <c r="C341" s="115"/>
      <c r="D341" s="115"/>
      <c r="E341" s="115"/>
      <c r="F341" s="60"/>
      <c r="G341" s="373"/>
      <c r="H341" s="60"/>
      <c r="I341" s="60"/>
      <c r="J341" s="60"/>
      <c r="K341" s="115"/>
    </row>
    <row r="342" spans="1:11" ht="12.75">
      <c r="A342" s="372"/>
      <c r="B342" s="372"/>
      <c r="C342" s="115"/>
      <c r="D342" s="115"/>
      <c r="E342" s="115"/>
      <c r="F342" s="60"/>
      <c r="G342" s="373"/>
      <c r="H342" s="60"/>
      <c r="I342" s="60"/>
      <c r="J342" s="60"/>
      <c r="K342" s="115"/>
    </row>
    <row r="343" spans="1:11" ht="12.75">
      <c r="A343" s="372"/>
      <c r="B343" s="372"/>
      <c r="C343" s="115"/>
      <c r="D343" s="115"/>
      <c r="E343" s="115"/>
      <c r="F343" s="60"/>
      <c r="G343" s="373"/>
      <c r="H343" s="60"/>
      <c r="I343" s="60"/>
      <c r="J343" s="60"/>
      <c r="K343" s="115"/>
    </row>
    <row r="344" spans="1:11" ht="12.75">
      <c r="A344" s="372"/>
      <c r="B344" s="372"/>
      <c r="C344" s="115"/>
      <c r="D344" s="115"/>
      <c r="E344" s="115"/>
      <c r="F344" s="60"/>
      <c r="G344" s="373"/>
      <c r="H344" s="60"/>
      <c r="I344" s="60"/>
      <c r="J344" s="60"/>
      <c r="K344" s="115"/>
    </row>
    <row r="345" spans="1:11" ht="12.75">
      <c r="A345" s="372"/>
      <c r="B345" s="372"/>
      <c r="C345" s="115"/>
      <c r="D345" s="115"/>
      <c r="E345" s="115"/>
      <c r="F345" s="60"/>
      <c r="G345" s="373"/>
      <c r="H345" s="60"/>
      <c r="I345" s="60"/>
      <c r="J345" s="60"/>
      <c r="K345" s="115"/>
    </row>
    <row r="346" spans="1:11" ht="12.75">
      <c r="A346" s="372"/>
      <c r="B346" s="372"/>
      <c r="C346" s="115"/>
      <c r="D346" s="115"/>
      <c r="E346" s="115"/>
      <c r="F346" s="60"/>
      <c r="G346" s="373"/>
      <c r="H346" s="60"/>
      <c r="I346" s="60"/>
      <c r="J346" s="60"/>
      <c r="K346" s="115"/>
    </row>
    <row r="347" spans="1:11" ht="12.75">
      <c r="A347" s="372"/>
      <c r="B347" s="372"/>
      <c r="C347" s="115"/>
      <c r="D347" s="115"/>
      <c r="E347" s="115"/>
      <c r="F347" s="60"/>
      <c r="G347" s="373"/>
      <c r="H347" s="60"/>
      <c r="I347" s="60"/>
      <c r="J347" s="60"/>
      <c r="K347" s="115"/>
    </row>
    <row r="348" spans="1:11" ht="12.75">
      <c r="A348" s="372"/>
      <c r="B348" s="372"/>
      <c r="C348" s="115"/>
      <c r="D348" s="115"/>
      <c r="E348" s="115"/>
      <c r="F348" s="60"/>
      <c r="G348" s="373"/>
      <c r="H348" s="60"/>
      <c r="I348" s="60"/>
      <c r="J348" s="60"/>
      <c r="K348" s="115"/>
    </row>
    <row r="349" spans="1:11" ht="12.75">
      <c r="A349" s="372"/>
      <c r="B349" s="372"/>
      <c r="C349" s="115"/>
      <c r="D349" s="115"/>
      <c r="E349" s="115"/>
      <c r="F349" s="60"/>
      <c r="G349" s="373"/>
      <c r="H349" s="60"/>
      <c r="I349" s="60"/>
      <c r="J349" s="60"/>
      <c r="K349" s="115"/>
    </row>
    <row r="350" spans="1:11" ht="12.75">
      <c r="A350" s="372"/>
      <c r="B350" s="372"/>
      <c r="C350" s="115"/>
      <c r="D350" s="115"/>
      <c r="E350" s="115"/>
      <c r="F350" s="60"/>
      <c r="G350" s="373"/>
      <c r="H350" s="60"/>
      <c r="I350" s="60"/>
      <c r="J350" s="60"/>
      <c r="K350" s="115"/>
    </row>
    <row r="351" spans="1:11" ht="12.75">
      <c r="A351" s="372"/>
      <c r="B351" s="372"/>
      <c r="C351" s="115"/>
      <c r="D351" s="115"/>
      <c r="E351" s="115"/>
      <c r="F351" s="60"/>
      <c r="G351" s="373"/>
      <c r="H351" s="60"/>
      <c r="I351" s="60"/>
      <c r="J351" s="60"/>
      <c r="K351" s="115"/>
    </row>
    <row r="352" spans="1:11" ht="12.75">
      <c r="A352" s="372"/>
      <c r="B352" s="372"/>
      <c r="C352" s="115"/>
      <c r="D352" s="115"/>
      <c r="E352" s="115"/>
      <c r="F352" s="60"/>
      <c r="G352" s="373"/>
      <c r="H352" s="60"/>
      <c r="I352" s="60"/>
      <c r="J352" s="60"/>
      <c r="K352" s="115"/>
    </row>
    <row r="353" spans="1:11" ht="12.75">
      <c r="A353" s="372"/>
      <c r="B353" s="372"/>
      <c r="C353" s="115"/>
      <c r="D353" s="115"/>
      <c r="E353" s="115"/>
      <c r="F353" s="60"/>
      <c r="G353" s="373"/>
      <c r="H353" s="60"/>
      <c r="I353" s="60"/>
      <c r="J353" s="60"/>
      <c r="K353" s="115"/>
    </row>
    <row r="354" spans="1:11" ht="12.75">
      <c r="A354" s="372"/>
      <c r="B354" s="372"/>
      <c r="C354" s="115"/>
      <c r="D354" s="115"/>
      <c r="E354" s="115"/>
      <c r="F354" s="60"/>
      <c r="G354" s="373"/>
      <c r="H354" s="60"/>
      <c r="I354" s="60"/>
      <c r="J354" s="60"/>
      <c r="K354" s="115"/>
    </row>
    <row r="355" spans="1:11" ht="12.75">
      <c r="A355" s="372"/>
      <c r="B355" s="372"/>
      <c r="C355" s="115"/>
      <c r="D355" s="115"/>
      <c r="E355" s="115"/>
      <c r="F355" s="60"/>
      <c r="G355" s="373"/>
      <c r="H355" s="60"/>
      <c r="I355" s="60"/>
      <c r="J355" s="60"/>
      <c r="K355" s="115"/>
    </row>
    <row r="356" spans="1:11" ht="12.75">
      <c r="A356" s="372"/>
      <c r="B356" s="372"/>
      <c r="C356" s="115"/>
      <c r="D356" s="115"/>
      <c r="E356" s="115"/>
      <c r="F356" s="60"/>
      <c r="G356" s="373"/>
      <c r="H356" s="60"/>
      <c r="I356" s="60"/>
      <c r="J356" s="60"/>
      <c r="K356" s="115"/>
    </row>
    <row r="357" spans="1:11" ht="12.75">
      <c r="A357" s="372"/>
      <c r="B357" s="372"/>
      <c r="C357" s="115"/>
      <c r="D357" s="115"/>
      <c r="E357" s="115"/>
      <c r="F357" s="60"/>
      <c r="G357" s="373"/>
      <c r="H357" s="60"/>
      <c r="I357" s="60"/>
      <c r="J357" s="60"/>
      <c r="K357" s="115"/>
    </row>
    <row r="358" spans="1:11" ht="12.75">
      <c r="A358" s="372"/>
      <c r="B358" s="372"/>
      <c r="C358" s="115"/>
      <c r="D358" s="115"/>
      <c r="E358" s="115"/>
      <c r="F358" s="60"/>
      <c r="G358" s="373"/>
      <c r="H358" s="60"/>
      <c r="I358" s="60"/>
      <c r="J358" s="60"/>
      <c r="K358" s="115"/>
    </row>
    <row r="359" spans="1:11" ht="12.75">
      <c r="A359" s="372"/>
      <c r="B359" s="372"/>
      <c r="C359" s="115"/>
      <c r="D359" s="115"/>
      <c r="E359" s="115"/>
      <c r="F359" s="60"/>
      <c r="G359" s="373"/>
      <c r="H359" s="60"/>
      <c r="I359" s="60"/>
      <c r="J359" s="60"/>
      <c r="K359" s="115"/>
    </row>
    <row r="360" spans="1:11" ht="12.75">
      <c r="A360" s="372"/>
      <c r="B360" s="372"/>
      <c r="C360" s="115"/>
      <c r="D360" s="115"/>
      <c r="E360" s="115"/>
      <c r="F360" s="60"/>
      <c r="G360" s="373"/>
      <c r="H360" s="60"/>
      <c r="I360" s="60"/>
      <c r="J360" s="60"/>
      <c r="K360" s="115"/>
    </row>
    <row r="361" spans="1:11" ht="12.75">
      <c r="A361" s="372"/>
      <c r="B361" s="372"/>
      <c r="C361" s="115"/>
      <c r="D361" s="115"/>
      <c r="E361" s="115"/>
      <c r="F361" s="60"/>
      <c r="G361" s="373"/>
      <c r="H361" s="60"/>
      <c r="I361" s="60"/>
      <c r="J361" s="60"/>
      <c r="K361" s="115"/>
    </row>
    <row r="362" spans="1:11" ht="12.75">
      <c r="A362" s="372"/>
      <c r="B362" s="372"/>
      <c r="C362" s="115"/>
      <c r="D362" s="115"/>
      <c r="E362" s="115"/>
      <c r="F362" s="60"/>
      <c r="G362" s="373"/>
      <c r="H362" s="60"/>
      <c r="I362" s="60"/>
      <c r="J362" s="60"/>
      <c r="K362" s="115"/>
    </row>
    <row r="363" spans="1:11" ht="12.75">
      <c r="A363" s="372"/>
      <c r="B363" s="372"/>
      <c r="C363" s="115"/>
      <c r="D363" s="115"/>
      <c r="E363" s="115"/>
      <c r="F363" s="60"/>
      <c r="G363" s="373"/>
      <c r="H363" s="60"/>
      <c r="I363" s="60"/>
      <c r="J363" s="60"/>
      <c r="K363" s="115"/>
    </row>
    <row r="364" spans="1:11" ht="12.75">
      <c r="A364" s="372"/>
      <c r="B364" s="372"/>
      <c r="C364" s="115"/>
      <c r="D364" s="115"/>
      <c r="E364" s="115"/>
      <c r="F364" s="60"/>
      <c r="G364" s="373"/>
      <c r="H364" s="60"/>
      <c r="I364" s="60"/>
      <c r="J364" s="60"/>
      <c r="K364" s="115"/>
    </row>
    <row r="365" spans="1:11" ht="12.75">
      <c r="A365" s="372"/>
      <c r="B365" s="372"/>
      <c r="C365" s="115"/>
      <c r="D365" s="115"/>
      <c r="E365" s="115"/>
      <c r="F365" s="60"/>
      <c r="G365" s="373"/>
      <c r="H365" s="60"/>
      <c r="I365" s="60"/>
      <c r="J365" s="60"/>
      <c r="K365" s="115"/>
    </row>
    <row r="366" spans="1:11" ht="12.75">
      <c r="A366" s="372"/>
      <c r="B366" s="372"/>
      <c r="C366" s="115"/>
      <c r="D366" s="115"/>
      <c r="E366" s="115"/>
      <c r="F366" s="60"/>
      <c r="G366" s="373"/>
      <c r="H366" s="60"/>
      <c r="I366" s="60"/>
      <c r="J366" s="60"/>
      <c r="K366" s="115"/>
    </row>
    <row r="367" spans="1:11" ht="12.75">
      <c r="A367" s="372"/>
      <c r="B367" s="372"/>
      <c r="C367" s="115"/>
      <c r="D367" s="115"/>
      <c r="E367" s="115"/>
      <c r="F367" s="60"/>
      <c r="G367" s="373"/>
      <c r="H367" s="60"/>
      <c r="I367" s="60"/>
      <c r="J367" s="60"/>
      <c r="K367" s="115"/>
    </row>
    <row r="368" spans="1:11" ht="12.75">
      <c r="A368" s="372"/>
      <c r="B368" s="372"/>
      <c r="C368" s="115"/>
      <c r="D368" s="115"/>
      <c r="E368" s="115"/>
      <c r="F368" s="60"/>
      <c r="G368" s="373"/>
      <c r="H368" s="60"/>
      <c r="I368" s="60"/>
      <c r="J368" s="60"/>
      <c r="K368" s="115"/>
    </row>
    <row r="369" spans="1:11" ht="12.75">
      <c r="A369" s="372"/>
      <c r="B369" s="372"/>
      <c r="C369" s="115"/>
      <c r="D369" s="115"/>
      <c r="E369" s="115"/>
      <c r="F369" s="60"/>
      <c r="G369" s="373"/>
      <c r="H369" s="60"/>
      <c r="I369" s="60"/>
      <c r="J369" s="60"/>
      <c r="K369" s="115"/>
    </row>
    <row r="370" spans="1:11" ht="12.75">
      <c r="A370" s="372"/>
      <c r="B370" s="372"/>
      <c r="C370" s="115"/>
      <c r="D370" s="115"/>
      <c r="E370" s="115"/>
      <c r="F370" s="60"/>
      <c r="G370" s="373"/>
      <c r="H370" s="60"/>
      <c r="I370" s="60"/>
      <c r="J370" s="60"/>
      <c r="K370" s="115"/>
    </row>
    <row r="371" spans="1:11" ht="12.75">
      <c r="A371" s="372"/>
      <c r="B371" s="372"/>
      <c r="C371" s="115"/>
      <c r="D371" s="115"/>
      <c r="E371" s="115"/>
      <c r="F371" s="60"/>
      <c r="G371" s="373"/>
      <c r="H371" s="60"/>
      <c r="I371" s="60"/>
      <c r="J371" s="60"/>
      <c r="K371" s="115"/>
    </row>
    <row r="372" spans="1:11" ht="12.75">
      <c r="A372" s="372"/>
      <c r="B372" s="372"/>
      <c r="C372" s="115"/>
      <c r="D372" s="115"/>
      <c r="E372" s="115"/>
      <c r="F372" s="60"/>
      <c r="G372" s="373"/>
      <c r="H372" s="60"/>
      <c r="I372" s="60"/>
      <c r="J372" s="60"/>
      <c r="K372" s="115"/>
    </row>
    <row r="373" spans="1:11" ht="12.75">
      <c r="A373" s="372"/>
      <c r="B373" s="372"/>
      <c r="C373" s="115"/>
      <c r="D373" s="115"/>
      <c r="E373" s="115"/>
      <c r="F373" s="60"/>
      <c r="G373" s="373"/>
      <c r="H373" s="60"/>
      <c r="I373" s="60"/>
      <c r="J373" s="60"/>
      <c r="K373" s="115"/>
    </row>
    <row r="374" spans="1:11" ht="12.75">
      <c r="A374" s="372"/>
      <c r="B374" s="372"/>
      <c r="C374" s="115"/>
      <c r="D374" s="115"/>
      <c r="E374" s="115"/>
      <c r="F374" s="60"/>
      <c r="G374" s="373"/>
      <c r="H374" s="60"/>
      <c r="I374" s="60"/>
      <c r="J374" s="60"/>
      <c r="K374" s="115"/>
    </row>
    <row r="375" spans="1:11" ht="12.75">
      <c r="A375" s="372"/>
      <c r="B375" s="372"/>
      <c r="C375" s="115"/>
      <c r="D375" s="115"/>
      <c r="E375" s="115"/>
      <c r="F375" s="60"/>
      <c r="G375" s="373"/>
      <c r="H375" s="60"/>
      <c r="I375" s="60"/>
      <c r="J375" s="60"/>
      <c r="K375" s="115"/>
    </row>
    <row r="376" spans="1:11" ht="12.75">
      <c r="A376" s="372"/>
      <c r="B376" s="372"/>
      <c r="C376" s="115"/>
      <c r="D376" s="115"/>
      <c r="E376" s="115"/>
      <c r="F376" s="60"/>
      <c r="G376" s="373"/>
      <c r="H376" s="60"/>
      <c r="I376" s="60"/>
      <c r="J376" s="60"/>
      <c r="K376" s="115"/>
    </row>
    <row r="377" spans="1:11" ht="12.75">
      <c r="A377" s="372"/>
      <c r="B377" s="372"/>
      <c r="C377" s="115"/>
      <c r="D377" s="115"/>
      <c r="E377" s="115"/>
      <c r="F377" s="60"/>
      <c r="G377" s="373"/>
      <c r="H377" s="60"/>
      <c r="I377" s="60"/>
      <c r="J377" s="60"/>
      <c r="K377" s="115"/>
    </row>
    <row r="378" spans="1:11" ht="12.75">
      <c r="A378" s="372"/>
      <c r="B378" s="372"/>
      <c r="C378" s="115"/>
      <c r="D378" s="115"/>
      <c r="E378" s="115"/>
      <c r="F378" s="60"/>
      <c r="G378" s="373"/>
      <c r="H378" s="60"/>
      <c r="I378" s="60"/>
      <c r="J378" s="60"/>
      <c r="K378" s="115"/>
    </row>
    <row r="379" spans="1:11" ht="12.75">
      <c r="A379" s="372"/>
      <c r="B379" s="372"/>
      <c r="C379" s="115"/>
      <c r="D379" s="115"/>
      <c r="E379" s="115"/>
      <c r="F379" s="60"/>
      <c r="G379" s="373"/>
      <c r="H379" s="60"/>
      <c r="I379" s="60"/>
      <c r="J379" s="60"/>
      <c r="K379" s="115"/>
    </row>
    <row r="380" spans="1:11" ht="12.75">
      <c r="A380" s="372"/>
      <c r="B380" s="372"/>
      <c r="C380" s="115"/>
      <c r="D380" s="115"/>
      <c r="E380" s="115"/>
      <c r="F380" s="60"/>
      <c r="G380" s="373"/>
      <c r="H380" s="60"/>
      <c r="I380" s="60"/>
      <c r="J380" s="60"/>
      <c r="K380" s="115"/>
    </row>
    <row r="381" spans="1:11" ht="12.75">
      <c r="A381" s="372"/>
      <c r="B381" s="372"/>
      <c r="C381" s="115"/>
      <c r="D381" s="115"/>
      <c r="E381" s="115"/>
      <c r="F381" s="60"/>
      <c r="G381" s="373"/>
      <c r="H381" s="60"/>
      <c r="I381" s="60"/>
      <c r="J381" s="60"/>
      <c r="K381" s="115"/>
    </row>
    <row r="382" spans="1:11" ht="12.75">
      <c r="A382" s="372"/>
      <c r="B382" s="372"/>
      <c r="C382" s="115"/>
      <c r="D382" s="115"/>
      <c r="E382" s="115"/>
      <c r="F382" s="60"/>
      <c r="G382" s="373"/>
      <c r="H382" s="60"/>
      <c r="I382" s="60"/>
      <c r="J382" s="60"/>
      <c r="K382" s="115"/>
    </row>
    <row r="383" spans="1:11" ht="12.75">
      <c r="A383" s="372"/>
      <c r="B383" s="372"/>
      <c r="C383" s="115"/>
      <c r="D383" s="115"/>
      <c r="E383" s="115"/>
      <c r="F383" s="60"/>
      <c r="G383" s="373"/>
      <c r="H383" s="60"/>
      <c r="I383" s="60"/>
      <c r="J383" s="60"/>
      <c r="K383" s="115"/>
    </row>
    <row r="384" spans="1:11" ht="12.75">
      <c r="A384" s="372"/>
      <c r="B384" s="372"/>
      <c r="C384" s="115"/>
      <c r="D384" s="115"/>
      <c r="E384" s="115"/>
      <c r="F384" s="60"/>
      <c r="G384" s="373"/>
      <c r="H384" s="60"/>
      <c r="I384" s="60"/>
      <c r="J384" s="60"/>
      <c r="K384" s="115"/>
    </row>
    <row r="385" spans="1:11" ht="12.75">
      <c r="A385" s="372"/>
      <c r="B385" s="372"/>
      <c r="C385" s="115"/>
      <c r="D385" s="115"/>
      <c r="E385" s="115"/>
      <c r="F385" s="60"/>
      <c r="G385" s="373"/>
      <c r="H385" s="60"/>
      <c r="I385" s="60"/>
      <c r="J385" s="60"/>
      <c r="K385" s="115"/>
    </row>
    <row r="386" spans="1:11" ht="12.75">
      <c r="A386" s="372"/>
      <c r="B386" s="372"/>
      <c r="C386" s="115"/>
      <c r="D386" s="115"/>
      <c r="E386" s="115"/>
      <c r="F386" s="60"/>
      <c r="G386" s="373"/>
      <c r="H386" s="60"/>
      <c r="I386" s="60"/>
      <c r="J386" s="60"/>
      <c r="K386" s="115"/>
    </row>
    <row r="387" spans="1:11" ht="12.75">
      <c r="A387" s="372"/>
      <c r="B387" s="372"/>
      <c r="C387" s="115"/>
      <c r="D387" s="115"/>
      <c r="E387" s="115"/>
      <c r="F387" s="60"/>
      <c r="G387" s="373"/>
      <c r="H387" s="60"/>
      <c r="I387" s="60"/>
      <c r="J387" s="60"/>
      <c r="K387" s="115"/>
    </row>
    <row r="388" spans="1:11" ht="12.75">
      <c r="A388" s="372"/>
      <c r="B388" s="372"/>
      <c r="C388" s="115"/>
      <c r="D388" s="115"/>
      <c r="E388" s="115"/>
      <c r="F388" s="60"/>
      <c r="G388" s="373"/>
      <c r="H388" s="60"/>
      <c r="I388" s="60"/>
      <c r="J388" s="60"/>
      <c r="K388" s="115"/>
    </row>
    <row r="389" spans="1:11" ht="12.75">
      <c r="A389" s="372"/>
      <c r="B389" s="372"/>
      <c r="C389" s="115"/>
      <c r="D389" s="115"/>
      <c r="E389" s="115"/>
      <c r="F389" s="60"/>
      <c r="G389" s="373"/>
      <c r="H389" s="60"/>
      <c r="I389" s="60"/>
      <c r="J389" s="60"/>
      <c r="K389" s="115"/>
    </row>
    <row r="390" spans="1:11" ht="12.75">
      <c r="A390" s="372"/>
      <c r="B390" s="372"/>
      <c r="C390" s="115"/>
      <c r="D390" s="115"/>
      <c r="E390" s="115"/>
      <c r="F390" s="60"/>
      <c r="G390" s="373"/>
      <c r="H390" s="60"/>
      <c r="I390" s="60"/>
      <c r="J390" s="60"/>
      <c r="K390" s="115"/>
    </row>
    <row r="391" spans="1:11" ht="12.75">
      <c r="A391" s="372"/>
      <c r="B391" s="372"/>
      <c r="C391" s="115"/>
      <c r="D391" s="115"/>
      <c r="E391" s="115"/>
      <c r="F391" s="60"/>
      <c r="G391" s="373"/>
      <c r="H391" s="60"/>
      <c r="I391" s="60"/>
      <c r="J391" s="60"/>
      <c r="K391" s="115"/>
    </row>
    <row r="392" spans="1:11" ht="12.75">
      <c r="A392" s="372"/>
      <c r="B392" s="372"/>
      <c r="C392" s="115"/>
      <c r="D392" s="115"/>
      <c r="E392" s="115"/>
      <c r="F392" s="60"/>
      <c r="G392" s="373"/>
      <c r="H392" s="60"/>
      <c r="I392" s="60"/>
      <c r="J392" s="60"/>
      <c r="K392" s="115"/>
    </row>
    <row r="393" spans="1:11" ht="12.75">
      <c r="A393" s="372"/>
      <c r="B393" s="372"/>
      <c r="C393" s="115"/>
      <c r="D393" s="115"/>
      <c r="E393" s="115"/>
      <c r="F393" s="60"/>
      <c r="G393" s="373"/>
      <c r="H393" s="60"/>
      <c r="I393" s="60"/>
      <c r="J393" s="60"/>
      <c r="K393" s="115"/>
    </row>
    <row r="394" spans="1:11" ht="12.75">
      <c r="A394" s="372"/>
      <c r="B394" s="372"/>
      <c r="C394" s="115"/>
      <c r="D394" s="115"/>
      <c r="E394" s="115"/>
      <c r="F394" s="60"/>
      <c r="G394" s="373"/>
      <c r="H394" s="60"/>
      <c r="I394" s="60"/>
      <c r="J394" s="60"/>
      <c r="K394" s="115"/>
    </row>
    <row r="395" spans="1:11" ht="12.75">
      <c r="A395" s="372"/>
      <c r="B395" s="372"/>
      <c r="C395" s="115"/>
      <c r="D395" s="115"/>
      <c r="E395" s="115"/>
      <c r="F395" s="60"/>
      <c r="G395" s="373"/>
      <c r="H395" s="60"/>
      <c r="I395" s="60"/>
      <c r="J395" s="60"/>
      <c r="K395" s="115"/>
    </row>
    <row r="396" spans="1:11" ht="12.75">
      <c r="A396" s="372"/>
      <c r="B396" s="372"/>
      <c r="C396" s="115"/>
      <c r="D396" s="115"/>
      <c r="E396" s="115"/>
      <c r="F396" s="60"/>
      <c r="G396" s="373"/>
      <c r="H396" s="60"/>
      <c r="I396" s="60"/>
      <c r="J396" s="60"/>
      <c r="K396" s="115"/>
    </row>
    <row r="397" spans="1:11" ht="12.75">
      <c r="A397" s="372"/>
      <c r="B397" s="372"/>
      <c r="C397" s="115"/>
      <c r="D397" s="115"/>
      <c r="E397" s="115"/>
      <c r="F397" s="60"/>
      <c r="G397" s="373"/>
      <c r="H397" s="60"/>
      <c r="I397" s="60"/>
      <c r="J397" s="60"/>
      <c r="K397" s="115"/>
    </row>
    <row r="398" spans="1:11" ht="12.75">
      <c r="A398" s="372"/>
      <c r="B398" s="372"/>
      <c r="C398" s="115"/>
      <c r="D398" s="115"/>
      <c r="E398" s="115"/>
      <c r="F398" s="60"/>
      <c r="G398" s="373"/>
      <c r="H398" s="60"/>
      <c r="I398" s="60"/>
      <c r="J398" s="60"/>
      <c r="K398" s="115"/>
    </row>
    <row r="399" spans="1:11" ht="12.75">
      <c r="A399" s="372"/>
      <c r="B399" s="372"/>
      <c r="C399" s="115"/>
      <c r="D399" s="115"/>
      <c r="E399" s="115"/>
      <c r="F399" s="60"/>
      <c r="G399" s="373"/>
      <c r="H399" s="60"/>
      <c r="I399" s="60"/>
      <c r="J399" s="60"/>
      <c r="K399" s="115"/>
    </row>
    <row r="400" spans="1:11" ht="12.75">
      <c r="A400" s="372"/>
      <c r="B400" s="372"/>
      <c r="C400" s="115"/>
      <c r="D400" s="115"/>
      <c r="E400" s="115"/>
      <c r="F400" s="60"/>
      <c r="G400" s="373"/>
      <c r="H400" s="60"/>
      <c r="I400" s="60"/>
      <c r="J400" s="60"/>
      <c r="K400" s="115"/>
    </row>
    <row r="401" spans="1:11" ht="12.75">
      <c r="A401" s="372"/>
      <c r="B401" s="372"/>
      <c r="C401" s="115"/>
      <c r="D401" s="115"/>
      <c r="E401" s="115"/>
      <c r="F401" s="60"/>
      <c r="G401" s="373"/>
      <c r="H401" s="60"/>
      <c r="I401" s="60"/>
      <c r="J401" s="60"/>
      <c r="K401" s="115"/>
    </row>
    <row r="402" spans="1:11" ht="12.75">
      <c r="A402" s="372"/>
      <c r="B402" s="372"/>
      <c r="C402" s="115"/>
      <c r="D402" s="115"/>
      <c r="E402" s="115"/>
      <c r="F402" s="60"/>
      <c r="G402" s="373"/>
      <c r="H402" s="60"/>
      <c r="I402" s="60"/>
      <c r="J402" s="60"/>
      <c r="K402" s="115"/>
    </row>
    <row r="403" spans="1:11" ht="12.75">
      <c r="A403" s="372"/>
      <c r="B403" s="372"/>
      <c r="C403" s="115"/>
      <c r="D403" s="115"/>
      <c r="E403" s="115"/>
      <c r="F403" s="60"/>
      <c r="G403" s="373"/>
      <c r="H403" s="60"/>
      <c r="I403" s="60"/>
      <c r="J403" s="60"/>
      <c r="K403" s="115"/>
    </row>
    <row r="404" spans="1:11" ht="12.75">
      <c r="A404" s="372"/>
      <c r="B404" s="372"/>
      <c r="C404" s="115"/>
      <c r="D404" s="115"/>
      <c r="E404" s="115"/>
      <c r="F404" s="60"/>
      <c r="G404" s="373"/>
      <c r="H404" s="60"/>
      <c r="I404" s="60"/>
      <c r="J404" s="60"/>
      <c r="K404" s="115"/>
    </row>
    <row r="405" spans="1:11" ht="12.75">
      <c r="A405" s="372"/>
      <c r="B405" s="372"/>
      <c r="C405" s="115"/>
      <c r="D405" s="115"/>
      <c r="E405" s="115"/>
      <c r="F405" s="60"/>
      <c r="G405" s="373"/>
      <c r="H405" s="60"/>
      <c r="I405" s="60"/>
      <c r="J405" s="60"/>
      <c r="K405" s="115"/>
    </row>
    <row r="406" spans="1:11" ht="12.75">
      <c r="A406" s="372"/>
      <c r="B406" s="372"/>
      <c r="C406" s="115"/>
      <c r="D406" s="115"/>
      <c r="E406" s="115"/>
      <c r="F406" s="60"/>
      <c r="G406" s="373"/>
      <c r="H406" s="60"/>
      <c r="I406" s="60"/>
      <c r="J406" s="60"/>
      <c r="K406" s="115"/>
    </row>
    <row r="407" spans="1:11" ht="12.75">
      <c r="A407" s="372"/>
      <c r="B407" s="372"/>
      <c r="C407" s="115"/>
      <c r="D407" s="115"/>
      <c r="E407" s="115"/>
      <c r="F407" s="60"/>
      <c r="G407" s="373"/>
      <c r="H407" s="60"/>
      <c r="I407" s="60"/>
      <c r="J407" s="60"/>
      <c r="K407" s="115"/>
    </row>
    <row r="408" spans="1:11" ht="12.75">
      <c r="A408" s="372"/>
      <c r="B408" s="372"/>
      <c r="C408" s="115"/>
      <c r="D408" s="115"/>
      <c r="E408" s="115"/>
      <c r="F408" s="60"/>
      <c r="G408" s="373"/>
      <c r="H408" s="60"/>
      <c r="I408" s="60"/>
      <c r="J408" s="60"/>
      <c r="K408" s="115"/>
    </row>
    <row r="409" spans="1:11" ht="12.75">
      <c r="A409" s="372"/>
      <c r="B409" s="372"/>
      <c r="C409" s="115"/>
      <c r="D409" s="115"/>
      <c r="E409" s="115"/>
      <c r="F409" s="60"/>
      <c r="G409" s="373"/>
      <c r="H409" s="60"/>
      <c r="I409" s="60"/>
      <c r="J409" s="60"/>
      <c r="K409" s="115"/>
    </row>
    <row r="410" spans="1:11" ht="12.75">
      <c r="A410" s="372"/>
      <c r="B410" s="372"/>
      <c r="C410" s="115"/>
      <c r="D410" s="115"/>
      <c r="E410" s="115"/>
      <c r="F410" s="60"/>
      <c r="G410" s="373"/>
      <c r="H410" s="60"/>
      <c r="I410" s="60"/>
      <c r="J410" s="60"/>
      <c r="K410" s="115"/>
    </row>
    <row r="411" spans="1:11" ht="12.75">
      <c r="A411" s="372"/>
      <c r="B411" s="372"/>
      <c r="C411" s="115"/>
      <c r="D411" s="115"/>
      <c r="E411" s="115"/>
      <c r="F411" s="60"/>
      <c r="G411" s="373"/>
      <c r="H411" s="60"/>
      <c r="I411" s="60"/>
      <c r="J411" s="60"/>
      <c r="K411" s="115"/>
    </row>
    <row r="412" spans="1:11" ht="12.75">
      <c r="A412" s="372"/>
      <c r="B412" s="372"/>
      <c r="C412" s="115"/>
      <c r="D412" s="115"/>
      <c r="E412" s="115"/>
      <c r="F412" s="60"/>
      <c r="G412" s="373"/>
      <c r="H412" s="60"/>
      <c r="I412" s="60"/>
      <c r="J412" s="60"/>
      <c r="K412" s="115"/>
    </row>
    <row r="413" spans="1:11" ht="12.75">
      <c r="A413" s="372"/>
      <c r="B413" s="372"/>
      <c r="C413" s="115"/>
      <c r="D413" s="115"/>
      <c r="E413" s="115"/>
      <c r="F413" s="60"/>
      <c r="G413" s="373"/>
      <c r="H413" s="60"/>
      <c r="I413" s="60"/>
      <c r="J413" s="60"/>
      <c r="K413" s="115"/>
    </row>
    <row r="414" spans="1:11" ht="12.75">
      <c r="A414" s="372"/>
      <c r="B414" s="372"/>
      <c r="C414" s="115"/>
      <c r="D414" s="115"/>
      <c r="E414" s="115"/>
      <c r="F414" s="60"/>
      <c r="G414" s="373"/>
      <c r="H414" s="60"/>
      <c r="I414" s="60"/>
      <c r="J414" s="60"/>
      <c r="K414" s="115"/>
    </row>
    <row r="415" spans="1:11" ht="12.75">
      <c r="A415" s="372"/>
      <c r="B415" s="372"/>
      <c r="C415" s="115"/>
      <c r="D415" s="115"/>
      <c r="E415" s="115"/>
      <c r="F415" s="60"/>
      <c r="G415" s="373"/>
      <c r="H415" s="60"/>
      <c r="I415" s="60"/>
      <c r="J415" s="60"/>
      <c r="K415" s="115"/>
    </row>
    <row r="416" spans="1:11" ht="12.75">
      <c r="A416" s="372"/>
      <c r="B416" s="372"/>
      <c r="C416" s="115"/>
      <c r="D416" s="115"/>
      <c r="E416" s="115"/>
      <c r="F416" s="60"/>
      <c r="G416" s="373"/>
      <c r="H416" s="60"/>
      <c r="I416" s="60"/>
      <c r="J416" s="60"/>
      <c r="K416" s="115"/>
    </row>
    <row r="417" spans="1:11" ht="12.75">
      <c r="A417" s="372"/>
      <c r="B417" s="372"/>
      <c r="C417" s="115"/>
      <c r="D417" s="115"/>
      <c r="E417" s="115"/>
      <c r="F417" s="60"/>
      <c r="G417" s="373"/>
      <c r="H417" s="60"/>
      <c r="I417" s="60"/>
      <c r="J417" s="60"/>
      <c r="K417" s="115"/>
    </row>
    <row r="418" spans="1:11" ht="12.75">
      <c r="A418" s="372"/>
      <c r="B418" s="372"/>
      <c r="C418" s="115"/>
      <c r="D418" s="115"/>
      <c r="E418" s="115"/>
      <c r="F418" s="60"/>
      <c r="G418" s="373"/>
      <c r="H418" s="60"/>
      <c r="I418" s="60"/>
      <c r="J418" s="60"/>
      <c r="K418" s="115"/>
    </row>
    <row r="419" spans="1:11" ht="12.75">
      <c r="A419" s="372"/>
      <c r="B419" s="372"/>
      <c r="C419" s="115"/>
      <c r="D419" s="115"/>
      <c r="E419" s="115"/>
      <c r="F419" s="60"/>
      <c r="G419" s="373"/>
      <c r="H419" s="60"/>
      <c r="I419" s="60"/>
      <c r="J419" s="60"/>
      <c r="K419" s="115"/>
    </row>
    <row r="420" spans="1:11" ht="12.75">
      <c r="A420" s="372"/>
      <c r="B420" s="372"/>
      <c r="C420" s="115"/>
      <c r="D420" s="115"/>
      <c r="E420" s="115"/>
      <c r="F420" s="60"/>
      <c r="G420" s="373"/>
      <c r="H420" s="60"/>
      <c r="I420" s="60"/>
      <c r="J420" s="60"/>
      <c r="K420" s="115"/>
    </row>
    <row r="421" spans="1:11" ht="12.75">
      <c r="A421" s="372"/>
      <c r="B421" s="372"/>
      <c r="C421" s="115"/>
      <c r="D421" s="115"/>
      <c r="E421" s="115"/>
      <c r="F421" s="60"/>
      <c r="G421" s="373"/>
      <c r="H421" s="60"/>
      <c r="I421" s="60"/>
      <c r="J421" s="60"/>
      <c r="K421" s="115"/>
    </row>
    <row r="422" spans="1:11" ht="12.75">
      <c r="A422" s="372"/>
      <c r="B422" s="372"/>
      <c r="C422" s="115"/>
      <c r="D422" s="115"/>
      <c r="E422" s="115"/>
      <c r="F422" s="60"/>
      <c r="G422" s="373"/>
      <c r="H422" s="60"/>
      <c r="I422" s="60"/>
      <c r="J422" s="60"/>
      <c r="K422" s="115"/>
    </row>
    <row r="423" spans="1:11" ht="12.75">
      <c r="A423" s="372"/>
      <c r="B423" s="372"/>
      <c r="C423" s="115"/>
      <c r="D423" s="115"/>
      <c r="E423" s="115"/>
      <c r="F423" s="60"/>
      <c r="G423" s="373"/>
      <c r="H423" s="60"/>
      <c r="I423" s="60"/>
      <c r="J423" s="60"/>
      <c r="K423" s="115"/>
    </row>
    <row r="424" spans="1:11" ht="12.75">
      <c r="A424" s="372"/>
      <c r="B424" s="372"/>
      <c r="C424" s="115"/>
      <c r="D424" s="115"/>
      <c r="E424" s="115"/>
      <c r="F424" s="60"/>
      <c r="G424" s="373"/>
      <c r="H424" s="60"/>
      <c r="I424" s="60"/>
      <c r="J424" s="60"/>
      <c r="K424" s="115"/>
    </row>
    <row r="425" spans="1:11" ht="12.75">
      <c r="A425" s="372"/>
      <c r="B425" s="372"/>
      <c r="C425" s="115"/>
      <c r="D425" s="115"/>
      <c r="E425" s="115"/>
      <c r="F425" s="60"/>
      <c r="G425" s="373"/>
      <c r="H425" s="60"/>
      <c r="I425" s="60"/>
      <c r="J425" s="60"/>
      <c r="K425" s="115"/>
    </row>
    <row r="426" spans="1:11" ht="12.75">
      <c r="A426" s="372"/>
      <c r="B426" s="372"/>
      <c r="C426" s="115"/>
      <c r="D426" s="115"/>
      <c r="E426" s="115"/>
      <c r="F426" s="60"/>
      <c r="G426" s="373"/>
      <c r="H426" s="60"/>
      <c r="I426" s="60"/>
      <c r="J426" s="60"/>
      <c r="K426" s="115"/>
    </row>
    <row r="427" spans="1:11" ht="12.75">
      <c r="A427" s="372"/>
      <c r="B427" s="372"/>
      <c r="C427" s="115"/>
      <c r="D427" s="115"/>
      <c r="E427" s="115"/>
      <c r="F427" s="60"/>
      <c r="G427" s="373"/>
      <c r="H427" s="60"/>
      <c r="I427" s="60"/>
      <c r="J427" s="60"/>
      <c r="K427" s="115"/>
    </row>
    <row r="428" spans="1:11" ht="12.75">
      <c r="A428" s="372"/>
      <c r="B428" s="372"/>
      <c r="C428" s="115"/>
      <c r="D428" s="115"/>
      <c r="E428" s="115"/>
      <c r="F428" s="60"/>
      <c r="G428" s="373"/>
      <c r="H428" s="60"/>
      <c r="I428" s="60"/>
      <c r="J428" s="60"/>
      <c r="K428" s="115"/>
    </row>
    <row r="429" spans="1:11" ht="12.75">
      <c r="A429" s="372"/>
      <c r="B429" s="372"/>
      <c r="C429" s="115"/>
      <c r="D429" s="115"/>
      <c r="E429" s="115"/>
      <c r="F429" s="60"/>
      <c r="G429" s="373"/>
      <c r="H429" s="60"/>
      <c r="I429" s="60"/>
      <c r="J429" s="60"/>
      <c r="K429" s="115"/>
    </row>
    <row r="430" spans="1:11" ht="12.75">
      <c r="A430" s="372"/>
      <c r="B430" s="372"/>
      <c r="C430" s="115"/>
      <c r="D430" s="115"/>
      <c r="E430" s="115"/>
      <c r="F430" s="60"/>
      <c r="G430" s="373"/>
      <c r="H430" s="60"/>
      <c r="I430" s="60"/>
      <c r="J430" s="60"/>
      <c r="K430" s="115"/>
    </row>
    <row r="431" spans="1:11" ht="12.75">
      <c r="A431" s="372"/>
      <c r="B431" s="372"/>
      <c r="C431" s="115"/>
      <c r="D431" s="115"/>
      <c r="E431" s="115"/>
      <c r="F431" s="60"/>
      <c r="G431" s="373"/>
      <c r="H431" s="60"/>
      <c r="I431" s="60"/>
      <c r="J431" s="60"/>
      <c r="K431" s="115"/>
    </row>
    <row r="432" spans="1:11" ht="12.75">
      <c r="A432" s="372"/>
      <c r="B432" s="372"/>
      <c r="C432" s="115"/>
      <c r="D432" s="115"/>
      <c r="E432" s="115"/>
      <c r="F432" s="60"/>
      <c r="G432" s="373"/>
      <c r="H432" s="60"/>
      <c r="I432" s="60"/>
      <c r="J432" s="60"/>
      <c r="K432" s="115"/>
    </row>
    <row r="433" spans="1:11" ht="12.75">
      <c r="A433" s="372"/>
      <c r="B433" s="372"/>
      <c r="C433" s="115"/>
      <c r="D433" s="115"/>
      <c r="E433" s="115"/>
      <c r="F433" s="60"/>
      <c r="G433" s="373"/>
      <c r="H433" s="60"/>
      <c r="I433" s="60"/>
      <c r="J433" s="60"/>
      <c r="K433" s="115"/>
    </row>
    <row r="434" spans="1:11" ht="12.75">
      <c r="A434" s="372"/>
      <c r="B434" s="372"/>
      <c r="C434" s="115"/>
      <c r="D434" s="115"/>
      <c r="E434" s="115"/>
      <c r="F434" s="60"/>
      <c r="G434" s="373"/>
      <c r="H434" s="60"/>
      <c r="I434" s="60"/>
      <c r="J434" s="60"/>
      <c r="K434" s="115"/>
    </row>
    <row r="435" spans="1:11" ht="12.75">
      <c r="A435" s="372"/>
      <c r="B435" s="372"/>
      <c r="C435" s="115"/>
      <c r="D435" s="115"/>
      <c r="E435" s="115"/>
      <c r="F435" s="60"/>
      <c r="G435" s="373"/>
      <c r="H435" s="60"/>
      <c r="I435" s="60"/>
      <c r="J435" s="60"/>
      <c r="K435" s="115"/>
    </row>
    <row r="436" spans="1:11" ht="12.75">
      <c r="A436" s="372"/>
      <c r="B436" s="372"/>
      <c r="C436" s="115"/>
      <c r="D436" s="115"/>
      <c r="E436" s="115"/>
      <c r="F436" s="60"/>
      <c r="G436" s="373"/>
      <c r="H436" s="60"/>
      <c r="I436" s="60"/>
      <c r="J436" s="60"/>
      <c r="K436" s="115"/>
    </row>
    <row r="437" spans="1:11" ht="12.75">
      <c r="A437" s="372"/>
      <c r="B437" s="372"/>
      <c r="C437" s="115"/>
      <c r="D437" s="115"/>
      <c r="E437" s="115"/>
      <c r="F437" s="60"/>
      <c r="G437" s="373"/>
      <c r="H437" s="60"/>
      <c r="I437" s="60"/>
      <c r="J437" s="60"/>
      <c r="K437" s="115"/>
    </row>
    <row r="438" spans="1:11" ht="12.75">
      <c r="A438" s="372"/>
      <c r="B438" s="372"/>
      <c r="C438" s="115"/>
      <c r="D438" s="115"/>
      <c r="E438" s="115"/>
      <c r="F438" s="60"/>
      <c r="G438" s="373"/>
      <c r="H438" s="60"/>
      <c r="I438" s="60"/>
      <c r="J438" s="60"/>
      <c r="K438" s="115"/>
    </row>
    <row r="439" spans="1:11" ht="12.75">
      <c r="A439" s="372"/>
      <c r="B439" s="372"/>
      <c r="C439" s="115"/>
      <c r="D439" s="115"/>
      <c r="E439" s="115"/>
      <c r="F439" s="60"/>
      <c r="G439" s="373"/>
      <c r="H439" s="60"/>
      <c r="I439" s="60"/>
      <c r="J439" s="60"/>
      <c r="K439" s="115"/>
    </row>
    <row r="440" spans="1:11" ht="12.75">
      <c r="A440" s="372"/>
      <c r="B440" s="372"/>
      <c r="C440" s="115"/>
      <c r="D440" s="115"/>
      <c r="E440" s="115"/>
      <c r="F440" s="60"/>
      <c r="G440" s="373"/>
      <c r="H440" s="60"/>
      <c r="I440" s="60"/>
      <c r="J440" s="60"/>
      <c r="K440" s="115"/>
    </row>
    <row r="441" spans="1:11" ht="12.75">
      <c r="A441" s="372"/>
      <c r="B441" s="372"/>
      <c r="C441" s="115"/>
      <c r="D441" s="115"/>
      <c r="E441" s="115"/>
      <c r="F441" s="60"/>
      <c r="G441" s="373"/>
      <c r="H441" s="60"/>
      <c r="I441" s="60"/>
      <c r="J441" s="60"/>
      <c r="K441" s="115"/>
    </row>
    <row r="442" spans="1:11" ht="12.75">
      <c r="A442" s="372"/>
      <c r="B442" s="372"/>
      <c r="C442" s="115"/>
      <c r="D442" s="115"/>
      <c r="E442" s="115"/>
      <c r="F442" s="60"/>
      <c r="G442" s="373"/>
      <c r="H442" s="60"/>
      <c r="I442" s="60"/>
      <c r="J442" s="60"/>
      <c r="K442" s="115"/>
    </row>
    <row r="443" spans="1:11" ht="12.75">
      <c r="A443" s="372"/>
      <c r="B443" s="372"/>
      <c r="C443" s="115"/>
      <c r="D443" s="115"/>
      <c r="E443" s="115"/>
      <c r="F443" s="60"/>
      <c r="G443" s="373"/>
      <c r="H443" s="60"/>
      <c r="I443" s="60"/>
      <c r="J443" s="60"/>
      <c r="K443" s="115"/>
    </row>
    <row r="444" spans="1:11" ht="12.75">
      <c r="A444" s="372"/>
      <c r="B444" s="372"/>
      <c r="C444" s="115"/>
      <c r="D444" s="115"/>
      <c r="E444" s="115"/>
      <c r="F444" s="60"/>
      <c r="G444" s="373"/>
      <c r="H444" s="60"/>
      <c r="I444" s="60"/>
      <c r="J444" s="60"/>
      <c r="K444" s="115"/>
    </row>
    <row r="445" spans="1:11" ht="12.75">
      <c r="A445" s="372"/>
      <c r="B445" s="372"/>
      <c r="C445" s="115"/>
      <c r="D445" s="115"/>
      <c r="E445" s="115"/>
      <c r="F445" s="60"/>
      <c r="G445" s="373"/>
      <c r="H445" s="60"/>
      <c r="I445" s="60"/>
      <c r="J445" s="60"/>
      <c r="K445" s="115"/>
    </row>
    <row r="446" spans="1:11" ht="12.75">
      <c r="A446" s="372"/>
      <c r="B446" s="372"/>
      <c r="C446" s="115"/>
      <c r="D446" s="115"/>
      <c r="E446" s="115"/>
      <c r="F446" s="60"/>
      <c r="G446" s="373"/>
      <c r="H446" s="60"/>
      <c r="I446" s="60"/>
      <c r="J446" s="60"/>
      <c r="K446" s="115"/>
    </row>
    <row r="447" spans="1:11" ht="12.75">
      <c r="A447" s="372"/>
      <c r="B447" s="372"/>
      <c r="C447" s="115"/>
      <c r="D447" s="115"/>
      <c r="E447" s="115"/>
      <c r="F447" s="60"/>
      <c r="G447" s="373"/>
      <c r="H447" s="60"/>
      <c r="I447" s="60"/>
      <c r="J447" s="60"/>
      <c r="K447" s="115"/>
    </row>
    <row r="448" spans="1:11" ht="12.75">
      <c r="A448" s="372"/>
      <c r="B448" s="372"/>
      <c r="C448" s="115"/>
      <c r="D448" s="115"/>
      <c r="E448" s="115"/>
      <c r="F448" s="60"/>
      <c r="G448" s="373"/>
      <c r="H448" s="60"/>
      <c r="I448" s="60"/>
      <c r="J448" s="60"/>
      <c r="K448" s="115"/>
    </row>
    <row r="449" spans="1:11" ht="12.75">
      <c r="A449" s="372"/>
      <c r="B449" s="372"/>
      <c r="C449" s="115"/>
      <c r="D449" s="115"/>
      <c r="E449" s="115"/>
      <c r="F449" s="60"/>
      <c r="G449" s="373"/>
      <c r="H449" s="60"/>
      <c r="I449" s="60"/>
      <c r="J449" s="60"/>
      <c r="K449" s="115"/>
    </row>
    <row r="450" spans="1:11" ht="12.75">
      <c r="A450" s="372"/>
      <c r="B450" s="372"/>
      <c r="C450" s="115"/>
      <c r="D450" s="115"/>
      <c r="E450" s="115"/>
      <c r="F450" s="60"/>
      <c r="G450" s="373"/>
      <c r="H450" s="60"/>
      <c r="I450" s="60"/>
      <c r="J450" s="60"/>
      <c r="K450" s="115"/>
    </row>
    <row r="451" spans="1:11" ht="12.75">
      <c r="A451" s="372"/>
      <c r="B451" s="372"/>
      <c r="C451" s="115"/>
      <c r="D451" s="115"/>
      <c r="E451" s="115"/>
      <c r="F451" s="60"/>
      <c r="G451" s="373"/>
      <c r="H451" s="60"/>
      <c r="I451" s="60"/>
      <c r="J451" s="60"/>
      <c r="K451" s="115"/>
    </row>
    <row r="452" spans="1:11" ht="12.75">
      <c r="A452" s="372"/>
      <c r="B452" s="372"/>
      <c r="C452" s="115"/>
      <c r="D452" s="115"/>
      <c r="E452" s="115"/>
      <c r="F452" s="60"/>
      <c r="G452" s="373"/>
      <c r="H452" s="60"/>
      <c r="I452" s="60"/>
      <c r="J452" s="60"/>
      <c r="K452" s="115"/>
    </row>
    <row r="453" spans="1:11" ht="12.75">
      <c r="A453" s="372"/>
      <c r="B453" s="372"/>
      <c r="C453" s="115"/>
      <c r="D453" s="115"/>
      <c r="E453" s="115"/>
      <c r="F453" s="60"/>
      <c r="G453" s="373"/>
      <c r="H453" s="60"/>
      <c r="I453" s="60"/>
      <c r="J453" s="60"/>
      <c r="K453" s="115"/>
    </row>
    <row r="454" spans="1:11" ht="12.75">
      <c r="A454" s="372"/>
      <c r="B454" s="372"/>
      <c r="C454" s="115"/>
      <c r="D454" s="115"/>
      <c r="E454" s="115"/>
      <c r="F454" s="60"/>
      <c r="G454" s="373"/>
      <c r="H454" s="60"/>
      <c r="I454" s="60"/>
      <c r="J454" s="60"/>
      <c r="K454" s="115"/>
    </row>
    <row r="455" spans="1:11" ht="12.75">
      <c r="A455" s="372"/>
      <c r="B455" s="372"/>
      <c r="C455" s="115"/>
      <c r="D455" s="115"/>
      <c r="E455" s="115"/>
      <c r="F455" s="60"/>
      <c r="G455" s="373"/>
      <c r="H455" s="60"/>
      <c r="I455" s="60"/>
      <c r="J455" s="60"/>
      <c r="K455" s="115"/>
    </row>
    <row r="456" spans="1:11" ht="12.75">
      <c r="A456" s="372"/>
      <c r="B456" s="372"/>
      <c r="C456" s="115"/>
      <c r="D456" s="115"/>
      <c r="E456" s="115"/>
      <c r="F456" s="60"/>
      <c r="G456" s="373"/>
      <c r="H456" s="60"/>
      <c r="I456" s="60"/>
      <c r="J456" s="60"/>
      <c r="K456" s="115"/>
    </row>
    <row r="457" spans="1:11" ht="12.75">
      <c r="A457" s="372"/>
      <c r="B457" s="372"/>
      <c r="C457" s="115"/>
      <c r="D457" s="115"/>
      <c r="E457" s="115"/>
      <c r="F457" s="60"/>
      <c r="G457" s="373"/>
      <c r="H457" s="60"/>
      <c r="I457" s="60"/>
      <c r="J457" s="60"/>
      <c r="K457" s="115"/>
    </row>
    <row r="458" spans="1:11" ht="12.75">
      <c r="A458" s="372"/>
      <c r="B458" s="372"/>
      <c r="C458" s="115"/>
      <c r="D458" s="115"/>
      <c r="E458" s="115"/>
      <c r="F458" s="60"/>
      <c r="G458" s="373"/>
      <c r="H458" s="60"/>
      <c r="I458" s="60"/>
      <c r="J458" s="60"/>
      <c r="K458" s="115"/>
    </row>
    <row r="459" spans="1:11" ht="12.75">
      <c r="A459" s="372"/>
      <c r="B459" s="372"/>
      <c r="C459" s="115"/>
      <c r="D459" s="115"/>
      <c r="E459" s="115"/>
      <c r="F459" s="60"/>
      <c r="G459" s="373"/>
      <c r="H459" s="60"/>
      <c r="I459" s="60"/>
      <c r="J459" s="60"/>
      <c r="K459" s="115"/>
    </row>
    <row r="460" spans="1:11" ht="12.75">
      <c r="A460" s="372"/>
      <c r="B460" s="372"/>
      <c r="C460" s="115"/>
      <c r="D460" s="115"/>
      <c r="E460" s="115"/>
      <c r="F460" s="60"/>
      <c r="G460" s="373"/>
      <c r="H460" s="60"/>
      <c r="I460" s="60"/>
      <c r="J460" s="60"/>
      <c r="K460" s="115"/>
    </row>
    <row r="461" spans="1:11" ht="12.75">
      <c r="A461" s="372"/>
      <c r="B461" s="372"/>
      <c r="C461" s="115"/>
      <c r="D461" s="115"/>
      <c r="E461" s="115"/>
      <c r="F461" s="60"/>
      <c r="G461" s="373"/>
      <c r="H461" s="60"/>
      <c r="I461" s="60"/>
      <c r="J461" s="60"/>
      <c r="K461" s="115"/>
    </row>
    <row r="462" spans="1:11" ht="12.75">
      <c r="A462" s="372"/>
      <c r="B462" s="372"/>
      <c r="C462" s="115"/>
      <c r="D462" s="115"/>
      <c r="E462" s="115"/>
      <c r="F462" s="60"/>
      <c r="G462" s="373"/>
      <c r="H462" s="60"/>
      <c r="I462" s="60"/>
      <c r="J462" s="60"/>
      <c r="K462" s="115"/>
    </row>
    <row r="463" spans="1:11" ht="12.75">
      <c r="A463" s="372"/>
      <c r="B463" s="372"/>
      <c r="C463" s="115"/>
      <c r="D463" s="115"/>
      <c r="E463" s="115"/>
      <c r="F463" s="60"/>
      <c r="G463" s="373"/>
      <c r="H463" s="60"/>
      <c r="I463" s="60"/>
      <c r="J463" s="60"/>
      <c r="K463" s="115"/>
    </row>
    <row r="464" spans="1:11" ht="12.75">
      <c r="A464" s="372"/>
      <c r="B464" s="372"/>
      <c r="C464" s="115"/>
      <c r="D464" s="115"/>
      <c r="E464" s="115"/>
      <c r="F464" s="60"/>
      <c r="G464" s="373"/>
      <c r="H464" s="60"/>
      <c r="I464" s="60"/>
      <c r="J464" s="60"/>
      <c r="K464" s="115"/>
    </row>
    <row r="465" spans="1:11" ht="12.75">
      <c r="A465" s="372"/>
      <c r="B465" s="372"/>
      <c r="C465" s="115"/>
      <c r="D465" s="115"/>
      <c r="E465" s="115"/>
      <c r="F465" s="60"/>
      <c r="G465" s="373"/>
      <c r="H465" s="60"/>
      <c r="I465" s="60"/>
      <c r="J465" s="60"/>
      <c r="K465" s="115"/>
    </row>
    <row r="466" spans="1:11" ht="12.75">
      <c r="A466" s="372"/>
      <c r="B466" s="372"/>
      <c r="C466" s="115"/>
      <c r="D466" s="115"/>
      <c r="E466" s="115"/>
      <c r="F466" s="60"/>
      <c r="G466" s="373"/>
      <c r="H466" s="60"/>
      <c r="I466" s="60"/>
      <c r="J466" s="60"/>
      <c r="K466" s="115"/>
    </row>
    <row r="467" spans="1:11" ht="12.75">
      <c r="A467" s="372"/>
      <c r="B467" s="372"/>
      <c r="C467" s="115"/>
      <c r="D467" s="115"/>
      <c r="E467" s="115"/>
      <c r="F467" s="60"/>
      <c r="G467" s="373"/>
      <c r="H467" s="60"/>
      <c r="I467" s="60"/>
      <c r="J467" s="60"/>
      <c r="K467" s="115"/>
    </row>
    <row r="468" spans="1:11" ht="12.75">
      <c r="A468" s="372"/>
      <c r="B468" s="372"/>
      <c r="C468" s="115"/>
      <c r="D468" s="115"/>
      <c r="E468" s="115"/>
      <c r="F468" s="60"/>
      <c r="G468" s="373"/>
      <c r="H468" s="60"/>
      <c r="I468" s="60"/>
      <c r="J468" s="60"/>
      <c r="K468" s="115"/>
    </row>
    <row r="469" spans="1:11" ht="12.75">
      <c r="A469" s="372"/>
      <c r="B469" s="372"/>
      <c r="C469" s="115"/>
      <c r="D469" s="115"/>
      <c r="E469" s="115"/>
      <c r="F469" s="60"/>
      <c r="G469" s="373"/>
      <c r="H469" s="60"/>
      <c r="I469" s="60"/>
      <c r="J469" s="60"/>
      <c r="K469" s="115"/>
    </row>
    <row r="470" spans="1:11" ht="12.75">
      <c r="A470" s="372"/>
      <c r="B470" s="372"/>
      <c r="C470" s="115"/>
      <c r="D470" s="115"/>
      <c r="E470" s="115"/>
      <c r="F470" s="60"/>
      <c r="G470" s="373"/>
      <c r="H470" s="60"/>
      <c r="I470" s="60"/>
      <c r="J470" s="60"/>
      <c r="K470" s="115"/>
    </row>
    <row r="471" spans="1:11" ht="12.75">
      <c r="A471" s="372"/>
      <c r="B471" s="372"/>
      <c r="C471" s="115"/>
      <c r="D471" s="115"/>
      <c r="E471" s="115"/>
      <c r="F471" s="60"/>
      <c r="G471" s="373"/>
      <c r="H471" s="60"/>
      <c r="I471" s="60"/>
      <c r="J471" s="60"/>
      <c r="K471" s="115"/>
    </row>
    <row r="472" spans="1:11" ht="12.75">
      <c r="A472" s="372"/>
      <c r="B472" s="372"/>
      <c r="C472" s="115"/>
      <c r="D472" s="115"/>
      <c r="E472" s="115"/>
      <c r="F472" s="60"/>
      <c r="G472" s="373"/>
      <c r="H472" s="60"/>
      <c r="I472" s="60"/>
      <c r="J472" s="60"/>
      <c r="K472" s="115"/>
    </row>
    <row r="473" spans="1:11" ht="12.75">
      <c r="A473" s="372"/>
      <c r="B473" s="372"/>
      <c r="C473" s="115"/>
      <c r="D473" s="115"/>
      <c r="E473" s="115"/>
      <c r="F473" s="60"/>
      <c r="G473" s="373"/>
      <c r="H473" s="60"/>
      <c r="I473" s="60"/>
      <c r="J473" s="60"/>
      <c r="K473" s="115"/>
    </row>
    <row r="474" spans="1:11" ht="12.75">
      <c r="A474" s="372"/>
      <c r="B474" s="372"/>
      <c r="C474" s="115"/>
      <c r="D474" s="115"/>
      <c r="E474" s="115"/>
      <c r="F474" s="60"/>
      <c r="G474" s="373"/>
      <c r="H474" s="60"/>
      <c r="I474" s="60"/>
      <c r="J474" s="60"/>
      <c r="K474" s="115"/>
    </row>
    <row r="475" spans="1:11" ht="12.75">
      <c r="A475" s="372"/>
      <c r="B475" s="372"/>
      <c r="C475" s="115"/>
      <c r="D475" s="115"/>
      <c r="E475" s="115"/>
      <c r="F475" s="60"/>
      <c r="G475" s="373"/>
      <c r="H475" s="60"/>
      <c r="I475" s="60"/>
      <c r="J475" s="60"/>
      <c r="K475" s="115"/>
    </row>
    <row r="476" spans="1:11" ht="12.75">
      <c r="A476" s="372"/>
      <c r="B476" s="372"/>
      <c r="C476" s="115"/>
      <c r="D476" s="115"/>
      <c r="E476" s="115"/>
      <c r="F476" s="60"/>
      <c r="G476" s="373"/>
      <c r="H476" s="60"/>
      <c r="I476" s="60"/>
      <c r="J476" s="60"/>
      <c r="K476" s="115"/>
    </row>
    <row r="477" spans="1:11" ht="12.75">
      <c r="A477" s="372"/>
      <c r="B477" s="372"/>
      <c r="C477" s="115"/>
      <c r="D477" s="115"/>
      <c r="E477" s="115"/>
      <c r="F477" s="60"/>
      <c r="G477" s="373"/>
      <c r="H477" s="60"/>
      <c r="I477" s="60"/>
      <c r="J477" s="60"/>
      <c r="K477" s="115"/>
    </row>
    <row r="478" spans="1:11" ht="12.75">
      <c r="A478" s="372"/>
      <c r="B478" s="372"/>
      <c r="C478" s="115"/>
      <c r="D478" s="115"/>
      <c r="E478" s="115"/>
      <c r="F478" s="60"/>
      <c r="G478" s="373"/>
      <c r="H478" s="60"/>
      <c r="I478" s="60"/>
      <c r="J478" s="60"/>
      <c r="K478" s="115"/>
    </row>
    <row r="479" spans="1:11" ht="12.75">
      <c r="A479" s="372"/>
      <c r="B479" s="372"/>
      <c r="C479" s="115"/>
      <c r="D479" s="115"/>
      <c r="E479" s="115"/>
      <c r="F479" s="60"/>
      <c r="G479" s="373"/>
      <c r="H479" s="60"/>
      <c r="I479" s="60"/>
      <c r="J479" s="60"/>
      <c r="K479" s="115"/>
    </row>
    <row r="480" spans="1:11" ht="12.75">
      <c r="A480" s="372"/>
      <c r="B480" s="372"/>
      <c r="C480" s="115"/>
      <c r="D480" s="115"/>
      <c r="E480" s="115"/>
      <c r="F480" s="60"/>
      <c r="G480" s="373"/>
      <c r="H480" s="60"/>
      <c r="I480" s="60"/>
      <c r="J480" s="60"/>
      <c r="K480" s="115"/>
    </row>
    <row r="481" spans="1:11" ht="12.75">
      <c r="A481" s="372"/>
      <c r="B481" s="372"/>
      <c r="C481" s="115"/>
      <c r="D481" s="115"/>
      <c r="E481" s="115"/>
      <c r="F481" s="60"/>
      <c r="G481" s="373"/>
      <c r="H481" s="60"/>
      <c r="I481" s="60"/>
      <c r="J481" s="60"/>
      <c r="K481" s="115"/>
    </row>
    <row r="482" spans="1:11" ht="12.75">
      <c r="A482" s="372"/>
      <c r="B482" s="372"/>
      <c r="C482" s="115"/>
      <c r="D482" s="115"/>
      <c r="E482" s="115"/>
      <c r="F482" s="60"/>
      <c r="G482" s="373"/>
      <c r="H482" s="60"/>
      <c r="I482" s="60"/>
      <c r="J482" s="60"/>
      <c r="K482" s="115"/>
    </row>
    <row r="483" spans="1:11" ht="12.75">
      <c r="A483" s="372"/>
      <c r="B483" s="372"/>
      <c r="C483" s="115"/>
      <c r="D483" s="115"/>
      <c r="E483" s="115"/>
      <c r="F483" s="60"/>
      <c r="G483" s="373"/>
      <c r="H483" s="60"/>
      <c r="I483" s="60"/>
      <c r="J483" s="60"/>
      <c r="K483" s="115"/>
    </row>
    <row r="484" spans="1:11" ht="12.75">
      <c r="A484" s="372"/>
      <c r="B484" s="372"/>
      <c r="C484" s="115"/>
      <c r="D484" s="115"/>
      <c r="E484" s="115"/>
      <c r="F484" s="60"/>
      <c r="G484" s="373"/>
      <c r="H484" s="60"/>
      <c r="I484" s="60"/>
      <c r="J484" s="60"/>
      <c r="K484" s="115"/>
    </row>
    <row r="485" spans="1:11" ht="12.75">
      <c r="A485" s="372"/>
      <c r="B485" s="372"/>
      <c r="C485" s="115"/>
      <c r="D485" s="115"/>
      <c r="E485" s="115"/>
      <c r="F485" s="60"/>
      <c r="G485" s="373"/>
      <c r="H485" s="60"/>
      <c r="I485" s="60"/>
      <c r="J485" s="60"/>
      <c r="K485" s="115"/>
    </row>
    <row r="486" spans="1:11" ht="12.75">
      <c r="A486" s="372"/>
      <c r="B486" s="372"/>
      <c r="C486" s="115"/>
      <c r="D486" s="115"/>
      <c r="E486" s="115"/>
      <c r="F486" s="60"/>
      <c r="G486" s="373"/>
      <c r="H486" s="60"/>
      <c r="I486" s="60"/>
      <c r="J486" s="60"/>
      <c r="K486" s="115"/>
    </row>
    <row r="487" spans="1:11" ht="12.75">
      <c r="A487" s="372"/>
      <c r="B487" s="372"/>
      <c r="C487" s="115"/>
      <c r="D487" s="115"/>
      <c r="E487" s="115"/>
      <c r="F487" s="60"/>
      <c r="G487" s="373"/>
      <c r="H487" s="60"/>
      <c r="I487" s="60"/>
      <c r="J487" s="60"/>
      <c r="K487" s="115"/>
    </row>
    <row r="488" spans="1:11" ht="12.75">
      <c r="A488" s="372"/>
      <c r="B488" s="372"/>
      <c r="C488" s="115"/>
      <c r="D488" s="115"/>
      <c r="E488" s="115"/>
      <c r="F488" s="60"/>
      <c r="G488" s="373"/>
      <c r="H488" s="60"/>
      <c r="I488" s="60"/>
      <c r="J488" s="60"/>
      <c r="K488" s="115"/>
    </row>
    <row r="489" spans="1:11" ht="12.75">
      <c r="A489" s="372"/>
      <c r="B489" s="372"/>
      <c r="C489" s="115"/>
      <c r="D489" s="115"/>
      <c r="E489" s="115"/>
      <c r="F489" s="60"/>
      <c r="G489" s="373"/>
      <c r="H489" s="60"/>
      <c r="I489" s="60"/>
      <c r="J489" s="60"/>
      <c r="K489" s="115"/>
    </row>
    <row r="490" spans="1:11" ht="12.75">
      <c r="A490" s="372"/>
      <c r="B490" s="372"/>
      <c r="C490" s="115"/>
      <c r="D490" s="115"/>
      <c r="E490" s="115"/>
      <c r="F490" s="60"/>
      <c r="G490" s="373"/>
      <c r="H490" s="60"/>
      <c r="I490" s="60"/>
      <c r="J490" s="60"/>
      <c r="K490" s="115"/>
    </row>
    <row r="491" spans="1:11" ht="12.75">
      <c r="A491" s="372"/>
      <c r="B491" s="372"/>
      <c r="C491" s="115"/>
      <c r="D491" s="115"/>
      <c r="E491" s="115"/>
      <c r="F491" s="60"/>
      <c r="G491" s="373"/>
      <c r="H491" s="60"/>
      <c r="I491" s="60"/>
      <c r="J491" s="60"/>
      <c r="K491" s="115"/>
    </row>
    <row r="492" spans="1:11" ht="12.75">
      <c r="A492" s="372"/>
      <c r="B492" s="372"/>
      <c r="C492" s="115"/>
      <c r="D492" s="115"/>
      <c r="E492" s="115"/>
      <c r="F492" s="60"/>
      <c r="G492" s="373"/>
      <c r="H492" s="60"/>
      <c r="I492" s="60"/>
      <c r="J492" s="60"/>
      <c r="K492" s="115"/>
    </row>
    <row r="493" spans="1:11" ht="12.75">
      <c r="A493" s="372"/>
      <c r="B493" s="372"/>
      <c r="C493" s="115"/>
      <c r="D493" s="115"/>
      <c r="E493" s="115"/>
      <c r="F493" s="60"/>
      <c r="G493" s="373"/>
      <c r="H493" s="60"/>
      <c r="I493" s="60"/>
      <c r="J493" s="60"/>
      <c r="K493" s="115"/>
    </row>
    <row r="494" spans="1:11" ht="12.75">
      <c r="A494" s="372"/>
      <c r="B494" s="372"/>
      <c r="C494" s="115"/>
      <c r="D494" s="115"/>
      <c r="E494" s="115"/>
      <c r="F494" s="60"/>
      <c r="G494" s="373"/>
      <c r="H494" s="60"/>
      <c r="I494" s="60"/>
      <c r="J494" s="60"/>
      <c r="K494" s="115"/>
    </row>
    <row r="495" spans="1:11" ht="12.75">
      <c r="A495" s="372"/>
      <c r="B495" s="372"/>
      <c r="C495" s="115"/>
      <c r="D495" s="115"/>
      <c r="E495" s="115"/>
      <c r="F495" s="60"/>
      <c r="G495" s="373"/>
      <c r="H495" s="60"/>
      <c r="I495" s="60"/>
      <c r="J495" s="60"/>
      <c r="K495" s="115"/>
    </row>
    <row r="496" spans="1:11" ht="12.75">
      <c r="A496" s="372"/>
      <c r="B496" s="372"/>
      <c r="C496" s="115"/>
      <c r="D496" s="115"/>
      <c r="E496" s="115"/>
      <c r="F496" s="60"/>
      <c r="G496" s="373"/>
      <c r="H496" s="60"/>
      <c r="I496" s="60"/>
      <c r="J496" s="60"/>
      <c r="K496" s="115"/>
    </row>
    <row r="497" spans="1:11" ht="12.75">
      <c r="A497" s="372"/>
      <c r="B497" s="372"/>
      <c r="C497" s="115"/>
      <c r="D497" s="115"/>
      <c r="E497" s="115"/>
      <c r="F497" s="60"/>
      <c r="G497" s="373"/>
      <c r="H497" s="60"/>
      <c r="I497" s="60"/>
      <c r="J497" s="60"/>
      <c r="K497" s="115"/>
    </row>
    <row r="498" spans="1:11" ht="12.75">
      <c r="A498" s="372"/>
      <c r="B498" s="372"/>
      <c r="C498" s="115"/>
      <c r="D498" s="115"/>
      <c r="E498" s="115"/>
      <c r="F498" s="60"/>
      <c r="G498" s="373"/>
      <c r="H498" s="60"/>
      <c r="I498" s="60"/>
      <c r="J498" s="60"/>
      <c r="K498" s="115"/>
    </row>
    <row r="499" spans="1:11" ht="12.75">
      <c r="A499" s="372"/>
      <c r="B499" s="372"/>
      <c r="C499" s="115"/>
      <c r="D499" s="115"/>
      <c r="E499" s="115"/>
      <c r="F499" s="60"/>
      <c r="G499" s="373"/>
      <c r="H499" s="60"/>
      <c r="I499" s="60"/>
      <c r="J499" s="60"/>
      <c r="K499" s="115"/>
    </row>
    <row r="500" spans="1:11" ht="12.75">
      <c r="A500" s="372"/>
      <c r="B500" s="372"/>
      <c r="C500" s="115"/>
      <c r="D500" s="115"/>
      <c r="E500" s="115"/>
      <c r="F500" s="60"/>
      <c r="G500" s="373"/>
      <c r="H500" s="60"/>
      <c r="I500" s="60"/>
      <c r="J500" s="60"/>
      <c r="K500" s="115"/>
    </row>
    <row r="501" spans="1:11" ht="12.75">
      <c r="A501" s="372"/>
      <c r="B501" s="372"/>
      <c r="C501" s="115"/>
      <c r="D501" s="115"/>
      <c r="E501" s="115"/>
      <c r="F501" s="60"/>
      <c r="G501" s="373"/>
      <c r="H501" s="60"/>
      <c r="I501" s="60"/>
      <c r="J501" s="60"/>
      <c r="K501" s="115"/>
    </row>
    <row r="502" spans="1:11" ht="12.75">
      <c r="A502" s="372"/>
      <c r="B502" s="372"/>
      <c r="C502" s="115"/>
      <c r="D502" s="115"/>
      <c r="E502" s="115"/>
      <c r="F502" s="60"/>
      <c r="G502" s="373"/>
      <c r="H502" s="60"/>
      <c r="I502" s="60"/>
      <c r="J502" s="60"/>
      <c r="K502" s="115"/>
    </row>
    <row r="503" spans="1:11" ht="12.75">
      <c r="A503" s="372"/>
      <c r="B503" s="372"/>
      <c r="C503" s="115"/>
      <c r="D503" s="115"/>
      <c r="E503" s="115"/>
      <c r="F503" s="60"/>
      <c r="G503" s="373"/>
      <c r="H503" s="60"/>
      <c r="I503" s="60"/>
      <c r="J503" s="60"/>
      <c r="K503" s="115"/>
    </row>
    <row r="504" spans="1:11" ht="12.75">
      <c r="A504" s="372"/>
      <c r="B504" s="372"/>
      <c r="C504" s="115"/>
      <c r="D504" s="115"/>
      <c r="E504" s="115"/>
      <c r="F504" s="60"/>
      <c r="G504" s="373"/>
      <c r="H504" s="60"/>
      <c r="I504" s="60"/>
      <c r="J504" s="60"/>
      <c r="K504" s="115"/>
    </row>
    <row r="505" spans="1:11" ht="12.75">
      <c r="A505" s="372"/>
      <c r="B505" s="372"/>
      <c r="C505" s="115"/>
      <c r="D505" s="115"/>
      <c r="E505" s="115"/>
      <c r="F505" s="60"/>
      <c r="G505" s="373"/>
      <c r="H505" s="60"/>
      <c r="I505" s="60"/>
      <c r="J505" s="60"/>
      <c r="K505" s="115"/>
    </row>
    <row r="506" spans="1:11" ht="12.75">
      <c r="A506" s="372"/>
      <c r="B506" s="372"/>
      <c r="C506" s="115"/>
      <c r="D506" s="115"/>
      <c r="E506" s="115"/>
      <c r="F506" s="60"/>
      <c r="G506" s="373"/>
      <c r="H506" s="60"/>
      <c r="I506" s="60"/>
      <c r="J506" s="60"/>
      <c r="K506" s="115"/>
    </row>
    <row r="507" spans="1:11" ht="12.75">
      <c r="A507" s="372"/>
      <c r="B507" s="372"/>
      <c r="C507" s="115"/>
      <c r="D507" s="115"/>
      <c r="E507" s="115"/>
      <c r="F507" s="60"/>
      <c r="G507" s="373"/>
      <c r="H507" s="60"/>
      <c r="I507" s="60"/>
      <c r="J507" s="60"/>
      <c r="K507" s="115"/>
    </row>
    <row r="508" spans="1:11" ht="12.75">
      <c r="A508" s="372"/>
      <c r="B508" s="372"/>
      <c r="C508" s="115"/>
      <c r="D508" s="115"/>
      <c r="E508" s="115"/>
      <c r="F508" s="60"/>
      <c r="G508" s="373"/>
      <c r="H508" s="60"/>
      <c r="I508" s="60"/>
      <c r="J508" s="60"/>
      <c r="K508" s="115"/>
    </row>
    <row r="509" spans="1:11" ht="12.75">
      <c r="A509" s="372"/>
      <c r="B509" s="372"/>
      <c r="C509" s="115"/>
      <c r="D509" s="115"/>
      <c r="E509" s="115"/>
      <c r="F509" s="60"/>
      <c r="G509" s="373"/>
      <c r="H509" s="60"/>
      <c r="I509" s="60"/>
      <c r="J509" s="60"/>
      <c r="K509" s="115"/>
    </row>
    <row r="510" spans="1:11" ht="12.75">
      <c r="A510" s="372"/>
      <c r="B510" s="372"/>
      <c r="C510" s="115"/>
      <c r="D510" s="115"/>
      <c r="E510" s="115"/>
      <c r="F510" s="60"/>
      <c r="G510" s="373"/>
      <c r="H510" s="60"/>
      <c r="I510" s="60"/>
      <c r="J510" s="60"/>
      <c r="K510" s="115"/>
    </row>
    <row r="511" spans="1:11" ht="12.75">
      <c r="A511" s="372"/>
      <c r="B511" s="372"/>
      <c r="C511" s="115"/>
      <c r="D511" s="115"/>
      <c r="E511" s="115"/>
      <c r="F511" s="60"/>
      <c r="G511" s="373"/>
      <c r="H511" s="60"/>
      <c r="I511" s="60"/>
      <c r="J511" s="60"/>
      <c r="K511" s="115"/>
    </row>
    <row r="512" spans="1:11" ht="12.75">
      <c r="A512" s="372"/>
      <c r="B512" s="372"/>
      <c r="C512" s="115"/>
      <c r="D512" s="115"/>
      <c r="E512" s="115"/>
      <c r="F512" s="60"/>
      <c r="G512" s="373"/>
      <c r="H512" s="60"/>
      <c r="I512" s="60"/>
      <c r="J512" s="60"/>
      <c r="K512" s="115"/>
    </row>
    <row r="513" spans="1:11" ht="12.75">
      <c r="A513" s="372"/>
      <c r="B513" s="372"/>
      <c r="C513" s="115"/>
      <c r="D513" s="115"/>
      <c r="E513" s="115"/>
      <c r="F513" s="60"/>
      <c r="G513" s="373"/>
      <c r="H513" s="60"/>
      <c r="I513" s="60"/>
      <c r="J513" s="60"/>
      <c r="K513" s="115"/>
    </row>
    <row r="514" spans="1:11" ht="12.75">
      <c r="A514" s="372"/>
      <c r="B514" s="372"/>
      <c r="C514" s="115"/>
      <c r="D514" s="115"/>
      <c r="E514" s="115"/>
      <c r="F514" s="60"/>
      <c r="G514" s="373"/>
      <c r="H514" s="60"/>
      <c r="I514" s="60"/>
      <c r="J514" s="60"/>
      <c r="K514" s="115"/>
    </row>
    <row r="515" spans="1:11" ht="12.75">
      <c r="A515" s="372"/>
      <c r="B515" s="372"/>
      <c r="C515" s="115"/>
      <c r="D515" s="115"/>
      <c r="E515" s="115"/>
      <c r="F515" s="60"/>
      <c r="G515" s="373"/>
      <c r="H515" s="60"/>
      <c r="I515" s="60"/>
      <c r="J515" s="60"/>
      <c r="K515" s="115"/>
    </row>
    <row r="516" spans="1:11" ht="12.75">
      <c r="A516" s="372"/>
      <c r="B516" s="372"/>
      <c r="C516" s="115"/>
      <c r="D516" s="115"/>
      <c r="E516" s="115"/>
      <c r="F516" s="60"/>
      <c r="G516" s="373"/>
      <c r="H516" s="60"/>
      <c r="I516" s="60"/>
      <c r="J516" s="60"/>
      <c r="K516" s="115"/>
    </row>
    <row r="517" spans="1:11" ht="12.75">
      <c r="A517" s="372"/>
      <c r="B517" s="372"/>
      <c r="C517" s="115"/>
      <c r="D517" s="115"/>
      <c r="E517" s="115"/>
      <c r="F517" s="60"/>
      <c r="G517" s="373"/>
      <c r="H517" s="60"/>
      <c r="I517" s="60"/>
      <c r="J517" s="60"/>
      <c r="K517" s="115"/>
    </row>
    <row r="518" spans="1:11" ht="12.75">
      <c r="A518" s="372"/>
      <c r="B518" s="372"/>
      <c r="C518" s="115"/>
      <c r="D518" s="115"/>
      <c r="E518" s="115"/>
      <c r="F518" s="60"/>
      <c r="G518" s="373"/>
      <c r="H518" s="60"/>
      <c r="I518" s="60"/>
      <c r="J518" s="60"/>
      <c r="K518" s="115"/>
    </row>
    <row r="519" spans="1:11" ht="12.75">
      <c r="A519" s="372"/>
      <c r="B519" s="372"/>
      <c r="C519" s="115"/>
      <c r="D519" s="115"/>
      <c r="E519" s="115"/>
      <c r="F519" s="60"/>
      <c r="G519" s="373"/>
      <c r="H519" s="60"/>
      <c r="I519" s="60"/>
      <c r="J519" s="60"/>
      <c r="K519" s="115"/>
    </row>
    <row r="520" spans="1:11" ht="12.75">
      <c r="A520" s="372"/>
      <c r="B520" s="372"/>
      <c r="C520" s="115"/>
      <c r="D520" s="115"/>
      <c r="E520" s="115"/>
      <c r="F520" s="60"/>
      <c r="G520" s="373"/>
      <c r="H520" s="60"/>
      <c r="I520" s="60"/>
      <c r="J520" s="60"/>
      <c r="K520" s="115"/>
    </row>
    <row r="521" spans="1:11" ht="12.75">
      <c r="A521" s="372"/>
      <c r="B521" s="372"/>
      <c r="C521" s="115"/>
      <c r="D521" s="115"/>
      <c r="E521" s="115"/>
      <c r="F521" s="60"/>
      <c r="G521" s="373"/>
      <c r="H521" s="60"/>
      <c r="I521" s="60"/>
      <c r="J521" s="60"/>
      <c r="K521" s="115"/>
    </row>
    <row r="522" spans="1:11" ht="12.75">
      <c r="A522" s="372"/>
      <c r="B522" s="372"/>
      <c r="C522" s="115"/>
      <c r="D522" s="115"/>
      <c r="E522" s="115"/>
      <c r="F522" s="60"/>
      <c r="G522" s="373"/>
      <c r="H522" s="60"/>
      <c r="I522" s="60"/>
      <c r="J522" s="60"/>
      <c r="K522" s="115"/>
    </row>
    <row r="523" spans="1:11" ht="12.75">
      <c r="A523" s="372"/>
      <c r="B523" s="372"/>
      <c r="C523" s="115"/>
      <c r="D523" s="115"/>
      <c r="E523" s="115"/>
      <c r="F523" s="60"/>
      <c r="G523" s="373"/>
      <c r="H523" s="60"/>
      <c r="I523" s="60"/>
      <c r="J523" s="60"/>
      <c r="K523" s="115"/>
    </row>
    <row r="524" spans="1:11" ht="12.75">
      <c r="A524" s="372"/>
      <c r="B524" s="372"/>
      <c r="C524" s="115"/>
      <c r="D524" s="115"/>
      <c r="E524" s="115"/>
      <c r="F524" s="60"/>
      <c r="G524" s="373"/>
      <c r="H524" s="60"/>
      <c r="I524" s="60"/>
      <c r="J524" s="60"/>
      <c r="K524" s="115"/>
    </row>
    <row r="525" spans="1:11" ht="12.75">
      <c r="A525" s="372"/>
      <c r="B525" s="372"/>
      <c r="C525" s="115"/>
      <c r="D525" s="115"/>
      <c r="E525" s="115"/>
      <c r="F525" s="60"/>
      <c r="G525" s="373"/>
      <c r="H525" s="60"/>
      <c r="I525" s="60"/>
      <c r="J525" s="60"/>
      <c r="K525" s="115"/>
    </row>
    <row r="526" spans="1:11" ht="12.75">
      <c r="A526" s="372"/>
      <c r="B526" s="372"/>
      <c r="C526" s="115"/>
      <c r="D526" s="115"/>
      <c r="E526" s="115"/>
      <c r="F526" s="60"/>
      <c r="G526" s="373"/>
      <c r="H526" s="60"/>
      <c r="I526" s="60"/>
      <c r="J526" s="60"/>
      <c r="K526" s="115"/>
    </row>
    <row r="527" spans="1:11" ht="12.75">
      <c r="A527" s="372"/>
      <c r="B527" s="372"/>
      <c r="C527" s="115"/>
      <c r="D527" s="115"/>
      <c r="E527" s="115"/>
      <c r="F527" s="60"/>
      <c r="G527" s="373"/>
      <c r="H527" s="60"/>
      <c r="I527" s="60"/>
      <c r="J527" s="60"/>
      <c r="K527" s="115"/>
    </row>
    <row r="528" spans="1:11" ht="12.75">
      <c r="A528" s="372"/>
      <c r="B528" s="372"/>
      <c r="C528" s="115"/>
      <c r="D528" s="115"/>
      <c r="E528" s="115"/>
      <c r="F528" s="60"/>
      <c r="G528" s="373"/>
      <c r="H528" s="60"/>
      <c r="I528" s="60"/>
      <c r="J528" s="60"/>
      <c r="K528" s="115"/>
    </row>
    <row r="529" spans="1:11" ht="12.75">
      <c r="A529" s="372"/>
      <c r="B529" s="372"/>
      <c r="C529" s="115"/>
      <c r="D529" s="115"/>
      <c r="E529" s="115"/>
      <c r="F529" s="60"/>
      <c r="G529" s="373"/>
      <c r="H529" s="60"/>
      <c r="I529" s="60"/>
      <c r="J529" s="60"/>
      <c r="K529" s="115"/>
    </row>
    <row r="530" spans="1:11" ht="12.75">
      <c r="A530" s="372"/>
      <c r="B530" s="372"/>
      <c r="C530" s="115"/>
      <c r="D530" s="115"/>
      <c r="E530" s="115"/>
      <c r="F530" s="60"/>
      <c r="G530" s="373"/>
      <c r="H530" s="60"/>
      <c r="I530" s="60"/>
      <c r="J530" s="60"/>
      <c r="K530" s="115"/>
    </row>
    <row r="531" spans="1:11" ht="12.75">
      <c r="A531" s="372"/>
      <c r="B531" s="372"/>
      <c r="C531" s="115"/>
      <c r="D531" s="115"/>
      <c r="E531" s="115"/>
      <c r="F531" s="60"/>
      <c r="G531" s="373"/>
      <c r="H531" s="60"/>
      <c r="I531" s="60"/>
      <c r="J531" s="60"/>
      <c r="K531" s="115"/>
    </row>
    <row r="532" spans="1:11" ht="12.75">
      <c r="A532" s="372"/>
      <c r="B532" s="372"/>
      <c r="C532" s="115"/>
      <c r="D532" s="115"/>
      <c r="E532" s="115"/>
      <c r="F532" s="60"/>
      <c r="G532" s="373"/>
      <c r="H532" s="60"/>
      <c r="I532" s="60"/>
      <c r="J532" s="60"/>
      <c r="K532" s="115"/>
    </row>
    <row r="533" spans="1:11" ht="12.75">
      <c r="A533" s="372"/>
      <c r="B533" s="372"/>
      <c r="C533" s="115"/>
      <c r="D533" s="115"/>
      <c r="E533" s="115"/>
      <c r="F533" s="60"/>
      <c r="G533" s="373"/>
      <c r="H533" s="60"/>
      <c r="I533" s="60"/>
      <c r="J533" s="60"/>
      <c r="K533" s="115"/>
    </row>
    <row r="534" spans="1:11" ht="12.75">
      <c r="A534" s="372"/>
      <c r="B534" s="372"/>
      <c r="C534" s="115"/>
      <c r="D534" s="115"/>
      <c r="E534" s="115"/>
      <c r="F534" s="60"/>
      <c r="G534" s="373"/>
      <c r="H534" s="60"/>
      <c r="I534" s="60"/>
      <c r="J534" s="60"/>
      <c r="K534" s="115"/>
    </row>
    <row r="535" spans="1:11" ht="12.75">
      <c r="A535" s="372"/>
      <c r="B535" s="372"/>
      <c r="C535" s="115"/>
      <c r="D535" s="115"/>
      <c r="E535" s="115"/>
      <c r="F535" s="60"/>
      <c r="G535" s="373"/>
      <c r="H535" s="60"/>
      <c r="I535" s="60"/>
      <c r="J535" s="60"/>
      <c r="K535" s="115"/>
    </row>
    <row r="536" spans="1:11" ht="12.75">
      <c r="A536" s="372"/>
      <c r="B536" s="372"/>
      <c r="C536" s="115"/>
      <c r="D536" s="115"/>
      <c r="E536" s="115"/>
      <c r="F536" s="60"/>
      <c r="G536" s="373"/>
      <c r="H536" s="60"/>
      <c r="I536" s="60"/>
      <c r="J536" s="60"/>
      <c r="K536" s="115"/>
    </row>
    <row r="537" spans="1:11" ht="12.75">
      <c r="A537" s="372"/>
      <c r="B537" s="372"/>
      <c r="C537" s="115"/>
      <c r="D537" s="115"/>
      <c r="E537" s="115"/>
      <c r="F537" s="60"/>
      <c r="G537" s="373"/>
      <c r="H537" s="60"/>
      <c r="I537" s="60"/>
      <c r="J537" s="60"/>
      <c r="K537" s="115"/>
    </row>
    <row r="538" spans="1:11" ht="12.75">
      <c r="A538" s="372"/>
      <c r="B538" s="372"/>
      <c r="C538" s="115"/>
      <c r="D538" s="115"/>
      <c r="E538" s="115"/>
      <c r="F538" s="60"/>
      <c r="G538" s="373"/>
      <c r="H538" s="60"/>
      <c r="I538" s="60"/>
      <c r="J538" s="60"/>
      <c r="K538" s="115"/>
    </row>
    <row r="539" spans="1:11" ht="12.75">
      <c r="A539" s="372"/>
      <c r="B539" s="372"/>
      <c r="C539" s="115"/>
      <c r="D539" s="115"/>
      <c r="E539" s="115"/>
      <c r="F539" s="60"/>
      <c r="G539" s="373"/>
      <c r="H539" s="60"/>
      <c r="I539" s="60"/>
      <c r="J539" s="60"/>
      <c r="K539" s="115"/>
    </row>
    <row r="540" spans="1:11" ht="12.75">
      <c r="A540" s="372"/>
      <c r="B540" s="372"/>
      <c r="C540" s="115"/>
      <c r="D540" s="115"/>
      <c r="E540" s="115"/>
      <c r="F540" s="60"/>
      <c r="G540" s="373"/>
      <c r="H540" s="60"/>
      <c r="I540" s="60"/>
      <c r="J540" s="60"/>
      <c r="K540" s="115"/>
    </row>
    <row r="541" spans="1:11" ht="12.75">
      <c r="A541" s="372"/>
      <c r="B541" s="372"/>
      <c r="C541" s="115"/>
      <c r="D541" s="115"/>
      <c r="E541" s="115"/>
      <c r="F541" s="60"/>
      <c r="G541" s="373"/>
      <c r="H541" s="60"/>
      <c r="I541" s="60"/>
      <c r="J541" s="60"/>
      <c r="K541" s="115"/>
    </row>
    <row r="542" spans="1:11" ht="12.75">
      <c r="A542" s="372"/>
      <c r="B542" s="372"/>
      <c r="C542" s="115"/>
      <c r="D542" s="115"/>
      <c r="E542" s="115"/>
      <c r="F542" s="60"/>
      <c r="G542" s="373"/>
      <c r="H542" s="60"/>
      <c r="I542" s="60"/>
      <c r="J542" s="60"/>
      <c r="K542" s="115"/>
    </row>
    <row r="543" spans="1:11" ht="12.75">
      <c r="A543" s="372"/>
      <c r="B543" s="372"/>
      <c r="C543" s="115"/>
      <c r="D543" s="115"/>
      <c r="E543" s="115"/>
      <c r="F543" s="60"/>
      <c r="G543" s="373"/>
      <c r="H543" s="60"/>
      <c r="I543" s="60"/>
      <c r="J543" s="60"/>
      <c r="K543" s="115"/>
    </row>
    <row r="544" spans="1:11" ht="12.75">
      <c r="A544" s="372"/>
      <c r="B544" s="372"/>
      <c r="C544" s="115"/>
      <c r="D544" s="115"/>
      <c r="E544" s="115"/>
      <c r="F544" s="60"/>
      <c r="G544" s="373"/>
      <c r="H544" s="60"/>
      <c r="I544" s="60"/>
      <c r="J544" s="60"/>
      <c r="K544" s="115"/>
    </row>
    <row r="545" spans="1:11" ht="12.75">
      <c r="A545" s="372"/>
      <c r="B545" s="372"/>
      <c r="C545" s="115"/>
      <c r="D545" s="115"/>
      <c r="E545" s="115"/>
      <c r="F545" s="60"/>
      <c r="G545" s="373"/>
      <c r="H545" s="60"/>
      <c r="I545" s="60"/>
      <c r="J545" s="60"/>
      <c r="K545" s="115"/>
    </row>
    <row r="546" spans="1:11" ht="12.75">
      <c r="A546" s="372"/>
      <c r="B546" s="372"/>
      <c r="C546" s="115"/>
      <c r="D546" s="115"/>
      <c r="E546" s="115"/>
      <c r="F546" s="60"/>
      <c r="G546" s="373"/>
      <c r="H546" s="60"/>
      <c r="I546" s="60"/>
      <c r="J546" s="60"/>
      <c r="K546" s="115"/>
    </row>
    <row r="547" spans="1:11" ht="12.75">
      <c r="A547" s="372"/>
      <c r="B547" s="372"/>
      <c r="C547" s="115"/>
      <c r="D547" s="115"/>
      <c r="E547" s="115"/>
      <c r="F547" s="60"/>
      <c r="G547" s="373"/>
      <c r="H547" s="60"/>
      <c r="I547" s="60"/>
      <c r="J547" s="60"/>
      <c r="K547" s="115"/>
    </row>
    <row r="548" spans="1:11" ht="12.75">
      <c r="A548" s="372"/>
      <c r="B548" s="372"/>
      <c r="C548" s="115"/>
      <c r="D548" s="115"/>
      <c r="E548" s="115"/>
      <c r="F548" s="60"/>
      <c r="G548" s="373"/>
      <c r="H548" s="60"/>
      <c r="I548" s="60"/>
      <c r="J548" s="60"/>
      <c r="K548" s="115"/>
    </row>
    <row r="549" spans="1:11" ht="12.75">
      <c r="A549" s="372"/>
      <c r="B549" s="372"/>
      <c r="C549" s="115"/>
      <c r="D549" s="115"/>
      <c r="E549" s="115"/>
      <c r="F549" s="60"/>
      <c r="G549" s="373"/>
      <c r="H549" s="60"/>
      <c r="I549" s="60"/>
      <c r="J549" s="60"/>
      <c r="K549" s="115"/>
    </row>
    <row r="550" spans="1:11" ht="12.75">
      <c r="A550" s="372"/>
      <c r="B550" s="372"/>
      <c r="C550" s="115"/>
      <c r="D550" s="115"/>
      <c r="E550" s="115"/>
      <c r="F550" s="60"/>
      <c r="G550" s="373"/>
      <c r="H550" s="60"/>
      <c r="I550" s="60"/>
      <c r="J550" s="60"/>
      <c r="K550" s="115"/>
    </row>
    <row r="551" spans="1:11" ht="12.75">
      <c r="A551" s="372"/>
      <c r="B551" s="372"/>
      <c r="C551" s="115"/>
      <c r="D551" s="115"/>
      <c r="E551" s="115"/>
      <c r="F551" s="60"/>
      <c r="G551" s="373"/>
      <c r="H551" s="60"/>
      <c r="I551" s="60"/>
      <c r="J551" s="60"/>
      <c r="K551" s="115"/>
    </row>
    <row r="552" spans="1:11" ht="12.75">
      <c r="A552" s="372"/>
      <c r="B552" s="372"/>
      <c r="C552" s="115"/>
      <c r="D552" s="115"/>
      <c r="E552" s="115"/>
      <c r="F552" s="60"/>
      <c r="G552" s="373"/>
      <c r="H552" s="60"/>
      <c r="I552" s="60"/>
      <c r="J552" s="60"/>
      <c r="K552" s="115"/>
    </row>
    <row r="553" spans="1:11" ht="12.75">
      <c r="A553" s="372"/>
      <c r="B553" s="372"/>
      <c r="C553" s="115"/>
      <c r="D553" s="115"/>
      <c r="E553" s="115"/>
      <c r="F553" s="60"/>
      <c r="G553" s="373"/>
      <c r="H553" s="60"/>
      <c r="I553" s="60"/>
      <c r="J553" s="60"/>
      <c r="K553" s="115"/>
    </row>
    <row r="554" spans="1:11" ht="12.75">
      <c r="A554" s="372"/>
      <c r="B554" s="372"/>
      <c r="C554" s="115"/>
      <c r="D554" s="115"/>
      <c r="E554" s="115"/>
      <c r="F554" s="60"/>
      <c r="G554" s="373"/>
      <c r="H554" s="60"/>
      <c r="I554" s="60"/>
      <c r="J554" s="60"/>
      <c r="K554" s="115"/>
    </row>
    <row r="555" spans="1:11" ht="12.75">
      <c r="A555" s="372"/>
      <c r="B555" s="372"/>
      <c r="C555" s="115"/>
      <c r="D555" s="115"/>
      <c r="E555" s="115"/>
      <c r="F555" s="60"/>
      <c r="G555" s="373"/>
      <c r="H555" s="60"/>
      <c r="I555" s="60"/>
      <c r="J555" s="60"/>
      <c r="K555" s="115"/>
    </row>
    <row r="556" spans="1:11" ht="12.75">
      <c r="A556" s="372"/>
      <c r="B556" s="372"/>
      <c r="C556" s="115"/>
      <c r="D556" s="115"/>
      <c r="E556" s="115"/>
      <c r="F556" s="60"/>
      <c r="G556" s="373"/>
      <c r="H556" s="60"/>
      <c r="I556" s="60"/>
      <c r="J556" s="60"/>
      <c r="K556" s="115"/>
    </row>
    <row r="557" spans="1:11" ht="12.75">
      <c r="A557" s="372"/>
      <c r="B557" s="372"/>
      <c r="C557" s="115"/>
      <c r="D557" s="115"/>
      <c r="E557" s="115"/>
      <c r="F557" s="60"/>
      <c r="G557" s="373"/>
      <c r="H557" s="60"/>
      <c r="I557" s="60"/>
      <c r="J557" s="60"/>
      <c r="K557" s="115"/>
    </row>
    <row r="558" spans="1:11" ht="12.75">
      <c r="A558" s="372"/>
      <c r="B558" s="372"/>
      <c r="C558" s="115"/>
      <c r="D558" s="115"/>
      <c r="E558" s="115"/>
      <c r="F558" s="60"/>
      <c r="G558" s="373"/>
      <c r="H558" s="60"/>
      <c r="I558" s="60"/>
      <c r="J558" s="60"/>
      <c r="K558" s="115"/>
    </row>
    <row r="559" spans="1:11" ht="12.75">
      <c r="A559" s="372"/>
      <c r="B559" s="372"/>
      <c r="C559" s="115"/>
      <c r="D559" s="115"/>
      <c r="E559" s="115"/>
      <c r="F559" s="60"/>
      <c r="G559" s="373"/>
      <c r="H559" s="60"/>
      <c r="I559" s="60"/>
      <c r="J559" s="60"/>
      <c r="K559" s="115"/>
    </row>
    <row r="560" spans="1:11" ht="12.75">
      <c r="A560" s="372"/>
      <c r="B560" s="372"/>
      <c r="C560" s="115"/>
      <c r="D560" s="115"/>
      <c r="E560" s="115"/>
      <c r="F560" s="60"/>
      <c r="G560" s="373"/>
      <c r="H560" s="60"/>
      <c r="I560" s="60"/>
      <c r="J560" s="60"/>
      <c r="K560" s="115"/>
    </row>
    <row r="561" spans="1:11" ht="12.75">
      <c r="A561" s="372"/>
      <c r="B561" s="372"/>
      <c r="C561" s="115"/>
      <c r="D561" s="115"/>
      <c r="E561" s="115"/>
      <c r="F561" s="60"/>
      <c r="G561" s="373"/>
      <c r="H561" s="60"/>
      <c r="I561" s="60"/>
      <c r="J561" s="60"/>
      <c r="K561" s="115"/>
    </row>
    <row r="562" spans="1:11" ht="12.75">
      <c r="A562" s="372"/>
      <c r="B562" s="372"/>
      <c r="C562" s="115"/>
      <c r="D562" s="115"/>
      <c r="E562" s="115"/>
      <c r="F562" s="60"/>
      <c r="G562" s="373"/>
      <c r="H562" s="60"/>
      <c r="I562" s="60"/>
      <c r="J562" s="60"/>
      <c r="K562" s="115"/>
    </row>
    <row r="563" spans="1:11" ht="12.75">
      <c r="A563" s="372"/>
      <c r="B563" s="372"/>
      <c r="C563" s="115"/>
      <c r="D563" s="115"/>
      <c r="E563" s="115"/>
      <c r="F563" s="60"/>
      <c r="G563" s="373"/>
      <c r="H563" s="60"/>
      <c r="I563" s="60"/>
      <c r="J563" s="60"/>
      <c r="K563" s="115"/>
    </row>
    <row r="564" spans="1:11" ht="12.75">
      <c r="A564" s="372"/>
      <c r="B564" s="372"/>
      <c r="C564" s="115"/>
      <c r="D564" s="115"/>
      <c r="E564" s="115"/>
      <c r="F564" s="60"/>
      <c r="G564" s="373"/>
      <c r="H564" s="60"/>
      <c r="I564" s="60"/>
      <c r="J564" s="60"/>
      <c r="K564" s="115"/>
    </row>
    <row r="565" spans="1:11" ht="12.75">
      <c r="A565" s="372"/>
      <c r="B565" s="372"/>
      <c r="C565" s="115"/>
      <c r="D565" s="115"/>
      <c r="E565" s="115"/>
      <c r="F565" s="60"/>
      <c r="G565" s="373"/>
      <c r="H565" s="60"/>
      <c r="I565" s="60"/>
      <c r="J565" s="60"/>
      <c r="K565" s="115"/>
    </row>
    <row r="566" spans="1:11" ht="12.75">
      <c r="A566" s="372"/>
      <c r="B566" s="372"/>
      <c r="C566" s="115"/>
      <c r="D566" s="115"/>
      <c r="E566" s="115"/>
      <c r="F566" s="60"/>
      <c r="G566" s="373"/>
      <c r="H566" s="60"/>
      <c r="I566" s="60"/>
      <c r="J566" s="60"/>
      <c r="K566" s="115"/>
    </row>
    <row r="567" spans="1:11" ht="12.75">
      <c r="A567" s="372"/>
      <c r="B567" s="372"/>
      <c r="C567" s="115"/>
      <c r="D567" s="115"/>
      <c r="E567" s="115"/>
      <c r="F567" s="60"/>
      <c r="G567" s="373"/>
      <c r="H567" s="60"/>
      <c r="I567" s="60"/>
      <c r="J567" s="60"/>
      <c r="K567" s="115"/>
    </row>
    <row r="568" spans="1:11" ht="12.75">
      <c r="A568" s="372"/>
      <c r="B568" s="372"/>
      <c r="C568" s="115"/>
      <c r="D568" s="115"/>
      <c r="E568" s="115"/>
      <c r="F568" s="60"/>
      <c r="G568" s="373"/>
      <c r="H568" s="60"/>
      <c r="I568" s="60"/>
      <c r="J568" s="60"/>
      <c r="K568" s="115"/>
    </row>
    <row r="569" spans="1:11" ht="12.75">
      <c r="A569" s="372"/>
      <c r="B569" s="372"/>
      <c r="C569" s="115"/>
      <c r="D569" s="115"/>
      <c r="E569" s="115"/>
      <c r="F569" s="60"/>
      <c r="G569" s="373"/>
      <c r="H569" s="60"/>
      <c r="I569" s="60"/>
      <c r="J569" s="60"/>
      <c r="K569" s="115"/>
    </row>
    <row r="570" spans="1:11" ht="12.75">
      <c r="A570" s="372"/>
      <c r="B570" s="372"/>
      <c r="C570" s="115"/>
      <c r="D570" s="115"/>
      <c r="E570" s="115"/>
      <c r="F570" s="60"/>
      <c r="G570" s="373"/>
      <c r="H570" s="60"/>
      <c r="I570" s="60"/>
      <c r="J570" s="60"/>
      <c r="K570" s="115"/>
    </row>
    <row r="571" spans="1:11" ht="12.75">
      <c r="A571" s="372"/>
      <c r="B571" s="372"/>
      <c r="C571" s="115"/>
      <c r="D571" s="115"/>
      <c r="E571" s="115"/>
      <c r="F571" s="60"/>
      <c r="G571" s="373"/>
      <c r="H571" s="60"/>
      <c r="I571" s="60"/>
      <c r="J571" s="60"/>
      <c r="K571" s="115"/>
    </row>
    <row r="572" spans="1:11" ht="12.75">
      <c r="A572" s="372"/>
      <c r="B572" s="372"/>
      <c r="C572" s="115"/>
      <c r="D572" s="115"/>
      <c r="E572" s="115"/>
      <c r="F572" s="60"/>
      <c r="G572" s="373"/>
      <c r="H572" s="60"/>
      <c r="I572" s="60"/>
      <c r="J572" s="60"/>
      <c r="K572" s="115"/>
    </row>
    <row r="573" spans="1:11" ht="12.75">
      <c r="A573" s="372"/>
      <c r="B573" s="372"/>
      <c r="C573" s="115"/>
      <c r="D573" s="115"/>
      <c r="E573" s="115"/>
      <c r="F573" s="60"/>
      <c r="G573" s="373"/>
      <c r="H573" s="60"/>
      <c r="I573" s="60"/>
      <c r="J573" s="60"/>
      <c r="K573" s="115"/>
    </row>
    <row r="574" spans="1:11" ht="12.75">
      <c r="A574" s="372"/>
      <c r="B574" s="372"/>
      <c r="C574" s="115"/>
      <c r="D574" s="115"/>
      <c r="E574" s="115"/>
      <c r="F574" s="60"/>
      <c r="G574" s="373"/>
      <c r="H574" s="60"/>
      <c r="I574" s="60"/>
      <c r="J574" s="60"/>
      <c r="K574" s="115"/>
    </row>
    <row r="575" spans="1:11" ht="12.75">
      <c r="A575" s="372"/>
      <c r="B575" s="372"/>
      <c r="C575" s="115"/>
      <c r="D575" s="115"/>
      <c r="E575" s="115"/>
      <c r="F575" s="60"/>
      <c r="G575" s="373"/>
      <c r="H575" s="60"/>
      <c r="I575" s="60"/>
      <c r="J575" s="60"/>
      <c r="K575" s="115"/>
    </row>
    <row r="576" spans="1:11" ht="12.75">
      <c r="A576" s="372"/>
      <c r="B576" s="372"/>
      <c r="C576" s="115"/>
      <c r="D576" s="115"/>
      <c r="E576" s="115"/>
      <c r="F576" s="60"/>
      <c r="G576" s="373"/>
      <c r="H576" s="60"/>
      <c r="I576" s="60"/>
      <c r="J576" s="60"/>
      <c r="K576" s="115"/>
    </row>
    <row r="577" spans="1:11" ht="12.75">
      <c r="A577" s="372"/>
      <c r="B577" s="372"/>
      <c r="C577" s="115"/>
      <c r="D577" s="115"/>
      <c r="E577" s="115"/>
      <c r="F577" s="60"/>
      <c r="G577" s="373"/>
      <c r="H577" s="60"/>
      <c r="I577" s="60"/>
      <c r="J577" s="60"/>
      <c r="K577" s="115"/>
    </row>
    <row r="578" spans="1:11" ht="12.75">
      <c r="A578" s="372"/>
      <c r="B578" s="372"/>
      <c r="C578" s="115"/>
      <c r="D578" s="115"/>
      <c r="E578" s="115"/>
      <c r="F578" s="60"/>
      <c r="G578" s="373"/>
      <c r="H578" s="60"/>
      <c r="I578" s="60"/>
      <c r="J578" s="60"/>
      <c r="K578" s="115"/>
    </row>
    <row r="579" spans="1:11" ht="12.75">
      <c r="A579" s="372"/>
      <c r="B579" s="372"/>
      <c r="C579" s="115"/>
      <c r="D579" s="115"/>
      <c r="E579" s="115"/>
      <c r="F579" s="60"/>
      <c r="G579" s="373"/>
      <c r="H579" s="60"/>
      <c r="I579" s="60"/>
      <c r="J579" s="60"/>
      <c r="K579" s="115"/>
    </row>
    <row r="580" spans="1:11" ht="12.75">
      <c r="A580" s="372"/>
      <c r="B580" s="372"/>
      <c r="C580" s="115"/>
      <c r="D580" s="115"/>
      <c r="E580" s="115"/>
      <c r="F580" s="60"/>
      <c r="G580" s="373"/>
      <c r="H580" s="60"/>
      <c r="I580" s="60"/>
      <c r="J580" s="60"/>
      <c r="K580" s="115"/>
    </row>
    <row r="581" spans="1:11" ht="12.75">
      <c r="A581" s="372"/>
      <c r="B581" s="372"/>
      <c r="C581" s="115"/>
      <c r="D581" s="115"/>
      <c r="E581" s="115"/>
      <c r="F581" s="60"/>
      <c r="G581" s="373"/>
      <c r="H581" s="60"/>
      <c r="I581" s="60"/>
      <c r="J581" s="60"/>
      <c r="K581" s="115"/>
    </row>
    <row r="582" spans="1:11" ht="12.75">
      <c r="A582" s="372"/>
      <c r="B582" s="372"/>
      <c r="C582" s="115"/>
      <c r="D582" s="115"/>
      <c r="E582" s="115"/>
      <c r="F582" s="60"/>
      <c r="G582" s="373"/>
      <c r="H582" s="60"/>
      <c r="I582" s="60"/>
      <c r="J582" s="60"/>
      <c r="K582" s="115"/>
    </row>
    <row r="583" spans="1:11" ht="12.75">
      <c r="A583" s="372"/>
      <c r="B583" s="372"/>
      <c r="C583" s="115"/>
      <c r="D583" s="115"/>
      <c r="E583" s="115"/>
      <c r="F583" s="60"/>
      <c r="G583" s="373"/>
      <c r="H583" s="60"/>
      <c r="I583" s="60"/>
      <c r="J583" s="60"/>
      <c r="K583" s="115"/>
    </row>
    <row r="584" spans="1:11" ht="12.75">
      <c r="A584" s="372"/>
      <c r="B584" s="372"/>
      <c r="C584" s="115"/>
      <c r="D584" s="115"/>
      <c r="E584" s="115"/>
      <c r="F584" s="60"/>
      <c r="G584" s="373"/>
      <c r="H584" s="60"/>
      <c r="I584" s="60"/>
      <c r="J584" s="60"/>
      <c r="K584" s="115"/>
    </row>
    <row r="585" spans="1:11" ht="12.75">
      <c r="A585" s="372"/>
      <c r="B585" s="372"/>
      <c r="C585" s="115"/>
      <c r="D585" s="115"/>
      <c r="E585" s="115"/>
      <c r="F585" s="60"/>
      <c r="G585" s="373"/>
      <c r="H585" s="60"/>
      <c r="I585" s="60"/>
      <c r="J585" s="60"/>
      <c r="K585" s="115"/>
    </row>
    <row r="586" spans="1:11" ht="12.75">
      <c r="A586" s="372"/>
      <c r="B586" s="372"/>
      <c r="C586" s="115"/>
      <c r="D586" s="115"/>
      <c r="E586" s="115"/>
      <c r="F586" s="60"/>
      <c r="G586" s="373"/>
      <c r="H586" s="60"/>
      <c r="I586" s="60"/>
      <c r="J586" s="60"/>
      <c r="K586" s="115"/>
    </row>
    <row r="587" spans="1:11" ht="12.75">
      <c r="A587" s="372"/>
      <c r="B587" s="372"/>
      <c r="C587" s="115"/>
      <c r="D587" s="115"/>
      <c r="E587" s="115"/>
      <c r="F587" s="60"/>
      <c r="G587" s="373"/>
      <c r="H587" s="60"/>
      <c r="I587" s="60"/>
      <c r="J587" s="60"/>
      <c r="K587" s="115"/>
    </row>
    <row r="588" spans="1:11" ht="12.75">
      <c r="A588" s="372"/>
      <c r="B588" s="372"/>
      <c r="C588" s="115"/>
      <c r="D588" s="115"/>
      <c r="E588" s="115"/>
      <c r="F588" s="60"/>
      <c r="G588" s="373"/>
      <c r="H588" s="60"/>
      <c r="I588" s="60"/>
      <c r="J588" s="60"/>
      <c r="K588" s="115"/>
    </row>
    <row r="589" spans="1:11" ht="12.75">
      <c r="A589" s="372"/>
      <c r="B589" s="372"/>
      <c r="C589" s="115"/>
      <c r="D589" s="115"/>
      <c r="E589" s="115"/>
      <c r="F589" s="60"/>
      <c r="G589" s="373"/>
      <c r="H589" s="60"/>
      <c r="I589" s="60"/>
      <c r="J589" s="60"/>
      <c r="K589" s="115"/>
    </row>
    <row r="590" spans="1:11" ht="12.75">
      <c r="A590" s="372"/>
      <c r="B590" s="372"/>
      <c r="C590" s="115"/>
      <c r="D590" s="115"/>
      <c r="E590" s="115"/>
      <c r="F590" s="60"/>
      <c r="G590" s="373"/>
      <c r="H590" s="60"/>
      <c r="I590" s="60"/>
      <c r="J590" s="60"/>
      <c r="K590" s="115"/>
    </row>
    <row r="591" spans="1:11" ht="12.75">
      <c r="A591" s="372"/>
      <c r="B591" s="372"/>
      <c r="C591" s="115"/>
      <c r="D591" s="115"/>
      <c r="E591" s="115"/>
      <c r="F591" s="60"/>
      <c r="G591" s="373"/>
      <c r="H591" s="60"/>
      <c r="I591" s="60"/>
      <c r="J591" s="60"/>
      <c r="K591" s="115"/>
    </row>
    <row r="592" spans="1:11" ht="12.75">
      <c r="A592" s="372"/>
      <c r="B592" s="372"/>
      <c r="C592" s="115"/>
      <c r="D592" s="115"/>
      <c r="E592" s="115"/>
      <c r="F592" s="60"/>
      <c r="G592" s="373"/>
      <c r="H592" s="60"/>
      <c r="I592" s="60"/>
      <c r="J592" s="60"/>
      <c r="K592" s="115"/>
    </row>
    <row r="593" spans="1:11" ht="12.75">
      <c r="A593" s="372"/>
      <c r="B593" s="372"/>
      <c r="C593" s="115"/>
      <c r="D593" s="115"/>
      <c r="E593" s="115"/>
      <c r="F593" s="60"/>
      <c r="G593" s="373"/>
      <c r="H593" s="60"/>
      <c r="I593" s="60"/>
      <c r="J593" s="60"/>
      <c r="K593" s="115"/>
    </row>
    <row r="594" spans="1:11" ht="12.75">
      <c r="A594" s="372"/>
      <c r="B594" s="372"/>
      <c r="C594" s="115"/>
      <c r="D594" s="115"/>
      <c r="E594" s="115"/>
      <c r="F594" s="60"/>
      <c r="G594" s="373"/>
      <c r="H594" s="60"/>
      <c r="I594" s="60"/>
      <c r="J594" s="60"/>
      <c r="K594" s="115"/>
    </row>
    <row r="595" spans="1:11" ht="12.75">
      <c r="A595" s="372"/>
      <c r="B595" s="372"/>
      <c r="C595" s="115"/>
      <c r="D595" s="115"/>
      <c r="E595" s="115"/>
      <c r="F595" s="60"/>
      <c r="G595" s="373"/>
      <c r="H595" s="60"/>
      <c r="I595" s="60"/>
      <c r="J595" s="60"/>
      <c r="K595" s="115"/>
    </row>
    <row r="596" spans="1:11" ht="12.75">
      <c r="A596" s="372"/>
      <c r="B596" s="372"/>
      <c r="C596" s="115"/>
      <c r="D596" s="115"/>
      <c r="E596" s="115"/>
      <c r="F596" s="60"/>
      <c r="G596" s="373"/>
      <c r="H596" s="60"/>
      <c r="I596" s="60"/>
      <c r="J596" s="60"/>
      <c r="K596" s="115"/>
    </row>
    <row r="597" spans="1:11" ht="12.75">
      <c r="A597" s="372"/>
      <c r="B597" s="372"/>
      <c r="C597" s="115"/>
      <c r="D597" s="115"/>
      <c r="E597" s="115"/>
      <c r="F597" s="60"/>
      <c r="G597" s="373"/>
      <c r="H597" s="60"/>
      <c r="I597" s="60"/>
      <c r="J597" s="60"/>
      <c r="K597" s="115"/>
    </row>
    <row r="598" spans="1:11" ht="12.75">
      <c r="A598" s="372"/>
      <c r="B598" s="372"/>
      <c r="C598" s="115"/>
      <c r="D598" s="115"/>
      <c r="E598" s="115"/>
      <c r="F598" s="60"/>
      <c r="G598" s="373"/>
      <c r="H598" s="60"/>
      <c r="I598" s="60"/>
      <c r="J598" s="60"/>
      <c r="K598" s="115"/>
    </row>
    <row r="599" spans="1:11" ht="12.75">
      <c r="A599" s="372"/>
      <c r="B599" s="372"/>
      <c r="C599" s="115"/>
      <c r="D599" s="115"/>
      <c r="E599" s="115"/>
      <c r="F599" s="60"/>
      <c r="G599" s="373"/>
      <c r="H599" s="60"/>
      <c r="I599" s="60"/>
      <c r="J599" s="60"/>
      <c r="K599" s="115"/>
    </row>
    <row r="600" spans="1:11" ht="12.75">
      <c r="A600" s="372"/>
      <c r="B600" s="372"/>
      <c r="C600" s="115"/>
      <c r="D600" s="115"/>
      <c r="E600" s="115"/>
      <c r="F600" s="60"/>
      <c r="G600" s="373"/>
      <c r="H600" s="60"/>
      <c r="I600" s="60"/>
      <c r="J600" s="60"/>
      <c r="K600" s="115"/>
    </row>
    <row r="601" spans="1:11" ht="12.75">
      <c r="A601" s="372"/>
      <c r="B601" s="372"/>
      <c r="C601" s="115"/>
      <c r="D601" s="115"/>
      <c r="E601" s="115"/>
      <c r="F601" s="60"/>
      <c r="G601" s="373"/>
      <c r="H601" s="60"/>
      <c r="I601" s="60"/>
      <c r="J601" s="60"/>
      <c r="K601" s="115"/>
    </row>
    <row r="602" spans="1:11" ht="12.75">
      <c r="A602" s="372"/>
      <c r="B602" s="372"/>
      <c r="C602" s="115"/>
      <c r="D602" s="115"/>
      <c r="E602" s="115"/>
      <c r="F602" s="60"/>
      <c r="G602" s="373"/>
      <c r="H602" s="60"/>
      <c r="I602" s="60"/>
      <c r="J602" s="60"/>
      <c r="K602" s="115"/>
    </row>
    <row r="603" spans="1:11" ht="12.75">
      <c r="A603" s="372"/>
      <c r="B603" s="372"/>
      <c r="C603" s="115"/>
      <c r="D603" s="115"/>
      <c r="E603" s="115"/>
      <c r="F603" s="60"/>
      <c r="G603" s="373"/>
      <c r="H603" s="60"/>
      <c r="I603" s="60"/>
      <c r="J603" s="60"/>
      <c r="K603" s="115"/>
    </row>
    <row r="604" spans="1:11" ht="12.75">
      <c r="A604" s="372"/>
      <c r="B604" s="372"/>
      <c r="C604" s="115"/>
      <c r="D604" s="115"/>
      <c r="E604" s="115"/>
      <c r="F604" s="60"/>
      <c r="G604" s="373"/>
      <c r="H604" s="60"/>
      <c r="I604" s="60"/>
      <c r="J604" s="60"/>
      <c r="K604" s="115"/>
    </row>
    <row r="605" spans="1:11" ht="12.75">
      <c r="A605" s="372"/>
      <c r="B605" s="372"/>
      <c r="C605" s="115"/>
      <c r="D605" s="115"/>
      <c r="E605" s="115"/>
      <c r="F605" s="60"/>
      <c r="G605" s="373"/>
      <c r="H605" s="60"/>
      <c r="I605" s="60"/>
      <c r="J605" s="60"/>
      <c r="K605" s="115"/>
    </row>
    <row r="606" spans="1:11" ht="12.75">
      <c r="A606" s="372"/>
      <c r="B606" s="372"/>
      <c r="C606" s="115"/>
      <c r="D606" s="115"/>
      <c r="E606" s="115"/>
      <c r="F606" s="60"/>
      <c r="G606" s="373"/>
      <c r="H606" s="60"/>
      <c r="I606" s="60"/>
      <c r="J606" s="60"/>
      <c r="K606" s="115"/>
    </row>
    <row r="607" spans="1:11" ht="12.75">
      <c r="A607" s="372"/>
      <c r="B607" s="372"/>
      <c r="C607" s="115"/>
      <c r="D607" s="115"/>
      <c r="E607" s="115"/>
      <c r="F607" s="60"/>
      <c r="G607" s="373"/>
      <c r="H607" s="60"/>
      <c r="I607" s="60"/>
      <c r="J607" s="60"/>
      <c r="K607" s="115"/>
    </row>
    <row r="608" spans="1:11" ht="12.75">
      <c r="A608" s="372"/>
      <c r="B608" s="372"/>
      <c r="C608" s="115"/>
      <c r="D608" s="115"/>
      <c r="E608" s="115"/>
      <c r="F608" s="60"/>
      <c r="G608" s="373"/>
      <c r="H608" s="60"/>
      <c r="I608" s="60"/>
      <c r="J608" s="60"/>
      <c r="K608" s="115"/>
    </row>
    <row r="609" spans="1:11" ht="12.75">
      <c r="A609" s="372"/>
      <c r="B609" s="372"/>
      <c r="C609" s="115"/>
      <c r="D609" s="115"/>
      <c r="E609" s="115"/>
      <c r="F609" s="60"/>
      <c r="G609" s="373"/>
      <c r="H609" s="60"/>
      <c r="I609" s="60"/>
      <c r="J609" s="60"/>
      <c r="K609" s="115"/>
    </row>
    <row r="610" spans="1:11" ht="12.75">
      <c r="A610" s="372"/>
      <c r="B610" s="372"/>
      <c r="C610" s="115"/>
      <c r="D610" s="115"/>
      <c r="E610" s="115"/>
      <c r="F610" s="60"/>
      <c r="G610" s="373"/>
      <c r="H610" s="60"/>
      <c r="I610" s="60"/>
      <c r="J610" s="60"/>
      <c r="K610" s="115"/>
    </row>
    <row r="611" spans="1:11" ht="12.75">
      <c r="A611" s="372"/>
      <c r="B611" s="372"/>
      <c r="C611" s="115"/>
      <c r="D611" s="115"/>
      <c r="E611" s="115"/>
      <c r="F611" s="60"/>
      <c r="G611" s="373"/>
      <c r="H611" s="60"/>
      <c r="I611" s="60"/>
      <c r="J611" s="60"/>
      <c r="K611" s="115"/>
    </row>
    <row r="612" spans="1:11" ht="12.75">
      <c r="A612" s="372"/>
      <c r="B612" s="372"/>
      <c r="C612" s="115"/>
      <c r="D612" s="115"/>
      <c r="E612" s="115"/>
      <c r="F612" s="60"/>
      <c r="G612" s="373"/>
      <c r="H612" s="60"/>
      <c r="I612" s="60"/>
      <c r="J612" s="60"/>
      <c r="K612" s="115"/>
    </row>
    <row r="613" spans="1:11" ht="12.75">
      <c r="A613" s="372"/>
      <c r="B613" s="372"/>
      <c r="C613" s="115"/>
      <c r="D613" s="115"/>
      <c r="E613" s="115"/>
      <c r="F613" s="60"/>
      <c r="G613" s="373"/>
      <c r="H613" s="60"/>
      <c r="I613" s="60"/>
      <c r="J613" s="60"/>
      <c r="K613" s="115"/>
    </row>
    <row r="614" spans="1:11" ht="12.75">
      <c r="A614" s="372"/>
      <c r="B614" s="372"/>
      <c r="C614" s="115"/>
      <c r="D614" s="115"/>
      <c r="E614" s="115"/>
      <c r="F614" s="60"/>
      <c r="G614" s="373"/>
      <c r="H614" s="60"/>
      <c r="I614" s="60"/>
      <c r="J614" s="60"/>
      <c r="K614" s="115"/>
    </row>
    <row r="615" spans="1:11" ht="12.75">
      <c r="A615" s="372"/>
      <c r="B615" s="372"/>
      <c r="C615" s="115"/>
      <c r="D615" s="115"/>
      <c r="E615" s="115"/>
      <c r="F615" s="60"/>
      <c r="G615" s="373"/>
      <c r="H615" s="60"/>
      <c r="I615" s="60"/>
      <c r="J615" s="60"/>
      <c r="K615" s="115"/>
    </row>
    <row r="616" spans="1:11" ht="12.75">
      <c r="A616" s="372"/>
      <c r="B616" s="372"/>
      <c r="C616" s="115"/>
      <c r="D616" s="115"/>
      <c r="E616" s="115"/>
      <c r="F616" s="60"/>
      <c r="G616" s="373"/>
      <c r="H616" s="60"/>
      <c r="I616" s="60"/>
      <c r="J616" s="60"/>
      <c r="K616" s="115"/>
    </row>
    <row r="617" spans="1:11" ht="12.75">
      <c r="A617" s="372"/>
      <c r="B617" s="372"/>
      <c r="C617" s="115"/>
      <c r="D617" s="115"/>
      <c r="E617" s="115"/>
      <c r="F617" s="60"/>
      <c r="G617" s="373"/>
      <c r="H617" s="60"/>
      <c r="I617" s="60"/>
      <c r="J617" s="60"/>
      <c r="K617" s="115"/>
    </row>
    <row r="618" spans="1:11" ht="12.75">
      <c r="A618" s="372"/>
      <c r="B618" s="372"/>
      <c r="C618" s="115"/>
      <c r="D618" s="115"/>
      <c r="E618" s="115"/>
      <c r="F618" s="60"/>
      <c r="G618" s="373"/>
      <c r="H618" s="60"/>
      <c r="I618" s="60"/>
      <c r="J618" s="60"/>
      <c r="K618" s="115"/>
    </row>
    <row r="619" spans="1:11" ht="12.75">
      <c r="A619" s="372"/>
      <c r="B619" s="372"/>
      <c r="C619" s="115"/>
      <c r="D619" s="115"/>
      <c r="E619" s="115"/>
      <c r="F619" s="60"/>
      <c r="G619" s="373"/>
      <c r="H619" s="60"/>
      <c r="I619" s="60"/>
      <c r="J619" s="60"/>
      <c r="K619" s="115"/>
    </row>
    <row r="620" spans="1:11" ht="12.75">
      <c r="A620" s="372"/>
      <c r="B620" s="372"/>
      <c r="C620" s="115"/>
      <c r="D620" s="115"/>
      <c r="E620" s="115"/>
      <c r="F620" s="60"/>
      <c r="G620" s="373"/>
      <c r="H620" s="60"/>
      <c r="I620" s="60"/>
      <c r="J620" s="60"/>
      <c r="K620" s="115"/>
    </row>
    <row r="621" spans="1:11" ht="12.75">
      <c r="A621" s="372"/>
      <c r="B621" s="372"/>
      <c r="C621" s="115"/>
      <c r="D621" s="115"/>
      <c r="E621" s="115"/>
      <c r="F621" s="60"/>
      <c r="G621" s="373"/>
      <c r="H621" s="60"/>
      <c r="I621" s="60"/>
      <c r="J621" s="60"/>
      <c r="K621" s="115"/>
    </row>
    <row r="622" spans="1:11" ht="12.75">
      <c r="A622" s="372"/>
      <c r="B622" s="372"/>
      <c r="C622" s="115"/>
      <c r="D622" s="115"/>
      <c r="E622" s="115"/>
      <c r="F622" s="60"/>
      <c r="G622" s="373"/>
      <c r="H622" s="60"/>
      <c r="I622" s="60"/>
      <c r="J622" s="60"/>
      <c r="K622" s="115"/>
    </row>
    <row r="623" spans="1:11" ht="12.75">
      <c r="A623" s="372"/>
      <c r="B623" s="372"/>
      <c r="C623" s="115"/>
      <c r="D623" s="115"/>
      <c r="E623" s="115"/>
      <c r="F623" s="60"/>
      <c r="G623" s="373"/>
      <c r="H623" s="60"/>
      <c r="I623" s="60"/>
      <c r="J623" s="60"/>
      <c r="K623" s="115"/>
    </row>
    <row r="624" spans="1:11" ht="12.75">
      <c r="A624" s="372"/>
      <c r="B624" s="372"/>
      <c r="C624" s="115"/>
      <c r="D624" s="115"/>
      <c r="E624" s="115"/>
      <c r="F624" s="60"/>
      <c r="G624" s="373"/>
      <c r="H624" s="60"/>
      <c r="I624" s="60"/>
      <c r="J624" s="60"/>
      <c r="K624" s="115"/>
    </row>
    <row r="625" spans="1:11" ht="12.75">
      <c r="A625" s="372"/>
      <c r="B625" s="372"/>
      <c r="C625" s="115"/>
      <c r="D625" s="115"/>
      <c r="E625" s="115"/>
      <c r="F625" s="60"/>
      <c r="G625" s="373"/>
      <c r="H625" s="60"/>
      <c r="I625" s="60"/>
      <c r="J625" s="60"/>
      <c r="K625" s="115"/>
    </row>
    <row r="626" spans="1:11" ht="12.75">
      <c r="A626" s="372"/>
      <c r="B626" s="372"/>
      <c r="C626" s="115"/>
      <c r="D626" s="115"/>
      <c r="E626" s="115"/>
      <c r="F626" s="60"/>
      <c r="G626" s="373"/>
      <c r="H626" s="60"/>
      <c r="I626" s="60"/>
      <c r="J626" s="60"/>
      <c r="K626" s="115"/>
    </row>
    <row r="627" spans="1:11" ht="12.75">
      <c r="A627" s="372"/>
      <c r="B627" s="372"/>
      <c r="C627" s="115"/>
      <c r="D627" s="115"/>
      <c r="E627" s="115"/>
      <c r="F627" s="60"/>
      <c r="G627" s="373"/>
      <c r="H627" s="60"/>
      <c r="I627" s="60"/>
      <c r="J627" s="60"/>
      <c r="K627" s="115"/>
    </row>
    <row r="628" spans="1:11" ht="12.75">
      <c r="A628" s="372"/>
      <c r="B628" s="372"/>
      <c r="C628" s="115"/>
      <c r="D628" s="115"/>
      <c r="E628" s="115"/>
      <c r="F628" s="60"/>
      <c r="G628" s="373"/>
      <c r="H628" s="60"/>
      <c r="I628" s="60"/>
      <c r="J628" s="60"/>
      <c r="K628" s="115"/>
    </row>
    <row r="629" spans="1:11" ht="12.75">
      <c r="A629" s="372"/>
      <c r="B629" s="372"/>
      <c r="C629" s="115"/>
      <c r="D629" s="115"/>
      <c r="E629" s="115"/>
      <c r="F629" s="60"/>
      <c r="G629" s="373"/>
      <c r="H629" s="60"/>
      <c r="I629" s="60"/>
      <c r="J629" s="60"/>
      <c r="K629" s="115"/>
    </row>
    <row r="630" spans="1:11" ht="12.75">
      <c r="A630" s="372"/>
      <c r="B630" s="372"/>
      <c r="C630" s="115"/>
      <c r="D630" s="115"/>
      <c r="E630" s="115"/>
      <c r="F630" s="60"/>
      <c r="G630" s="373"/>
      <c r="H630" s="60"/>
      <c r="I630" s="60"/>
      <c r="J630" s="60"/>
      <c r="K630" s="115"/>
    </row>
    <row r="631" spans="1:11" ht="12.75">
      <c r="A631" s="372"/>
      <c r="B631" s="372"/>
      <c r="C631" s="115"/>
      <c r="D631" s="115"/>
      <c r="E631" s="115"/>
      <c r="F631" s="60"/>
      <c r="G631" s="373"/>
      <c r="H631" s="60"/>
      <c r="I631" s="60"/>
      <c r="J631" s="60"/>
      <c r="K631" s="115"/>
    </row>
    <row r="632" spans="1:11" ht="12.75">
      <c r="A632" s="372"/>
      <c r="B632" s="372"/>
      <c r="C632" s="115"/>
      <c r="D632" s="115"/>
      <c r="E632" s="115"/>
      <c r="F632" s="60"/>
      <c r="G632" s="373"/>
      <c r="H632" s="60"/>
      <c r="I632" s="60"/>
      <c r="J632" s="60"/>
      <c r="K632" s="115"/>
    </row>
    <row r="633" spans="1:11" ht="12.75">
      <c r="A633" s="372"/>
      <c r="B633" s="372"/>
      <c r="C633" s="115"/>
      <c r="D633" s="115"/>
      <c r="E633" s="115"/>
      <c r="F633" s="60"/>
      <c r="G633" s="373"/>
      <c r="H633" s="60"/>
      <c r="I633" s="60"/>
      <c r="J633" s="60"/>
      <c r="K633" s="115"/>
    </row>
    <row r="634" spans="1:11" ht="12.75">
      <c r="A634" s="372"/>
      <c r="B634" s="372"/>
      <c r="C634" s="115"/>
      <c r="D634" s="115"/>
      <c r="E634" s="115"/>
      <c r="F634" s="60"/>
      <c r="G634" s="373"/>
      <c r="H634" s="60"/>
      <c r="I634" s="60"/>
      <c r="J634" s="60"/>
      <c r="K634" s="115"/>
    </row>
    <row r="635" spans="1:11" ht="12.75">
      <c r="A635" s="372"/>
      <c r="B635" s="372"/>
      <c r="C635" s="115"/>
      <c r="D635" s="115"/>
      <c r="E635" s="115"/>
      <c r="F635" s="60"/>
      <c r="G635" s="373"/>
      <c r="H635" s="60"/>
      <c r="I635" s="60"/>
      <c r="J635" s="60"/>
      <c r="K635" s="115"/>
    </row>
    <row r="636" spans="1:11" ht="12.75">
      <c r="A636" s="372"/>
      <c r="B636" s="372"/>
      <c r="C636" s="115"/>
      <c r="D636" s="115"/>
      <c r="E636" s="115"/>
      <c r="F636" s="60"/>
      <c r="G636" s="373"/>
      <c r="H636" s="60"/>
      <c r="I636" s="60"/>
      <c r="J636" s="60"/>
      <c r="K636" s="115"/>
    </row>
    <row r="637" spans="1:11" ht="12.75">
      <c r="A637" s="372"/>
      <c r="B637" s="372"/>
      <c r="C637" s="115"/>
      <c r="D637" s="115"/>
      <c r="E637" s="115"/>
      <c r="F637" s="60"/>
      <c r="G637" s="373"/>
      <c r="H637" s="60"/>
      <c r="I637" s="60"/>
      <c r="J637" s="60"/>
      <c r="K637" s="115"/>
    </row>
    <row r="638" spans="1:11" ht="12.75">
      <c r="A638" s="372"/>
      <c r="B638" s="372"/>
      <c r="C638" s="115"/>
      <c r="D638" s="115"/>
      <c r="E638" s="115"/>
      <c r="F638" s="60"/>
      <c r="G638" s="373"/>
      <c r="H638" s="60"/>
      <c r="I638" s="60"/>
      <c r="J638" s="60"/>
      <c r="K638" s="115"/>
    </row>
    <row r="639" spans="1:11" ht="12.75">
      <c r="A639" s="372"/>
      <c r="B639" s="372"/>
      <c r="C639" s="115"/>
      <c r="D639" s="115"/>
      <c r="E639" s="115"/>
      <c r="F639" s="60"/>
      <c r="G639" s="373"/>
      <c r="H639" s="60"/>
      <c r="I639" s="60"/>
      <c r="J639" s="60"/>
      <c r="K639" s="115"/>
    </row>
    <row r="640" spans="1:11" ht="12.75">
      <c r="A640" s="372"/>
      <c r="B640" s="372"/>
      <c r="C640" s="115"/>
      <c r="D640" s="115"/>
      <c r="E640" s="115"/>
      <c r="F640" s="60"/>
      <c r="G640" s="373"/>
      <c r="H640" s="60"/>
      <c r="I640" s="60"/>
      <c r="J640" s="60"/>
      <c r="K640" s="115"/>
    </row>
    <row r="641" spans="1:11" ht="12.75">
      <c r="A641" s="372"/>
      <c r="B641" s="372"/>
      <c r="C641" s="115"/>
      <c r="D641" s="115"/>
      <c r="E641" s="115"/>
      <c r="F641" s="60"/>
      <c r="G641" s="373"/>
      <c r="H641" s="60"/>
      <c r="I641" s="60"/>
      <c r="J641" s="60"/>
      <c r="K641" s="115"/>
    </row>
    <row r="642" spans="1:11" ht="12.75">
      <c r="A642" s="372"/>
      <c r="B642" s="372"/>
      <c r="C642" s="115"/>
      <c r="D642" s="115"/>
      <c r="E642" s="115"/>
      <c r="F642" s="60"/>
      <c r="G642" s="373"/>
      <c r="H642" s="60"/>
      <c r="I642" s="60"/>
      <c r="J642" s="60"/>
      <c r="K642" s="115"/>
    </row>
    <row r="643" spans="1:11" ht="12.75">
      <c r="A643" s="372"/>
      <c r="B643" s="372"/>
      <c r="C643" s="115"/>
      <c r="D643" s="115"/>
      <c r="E643" s="115"/>
      <c r="F643" s="60"/>
      <c r="G643" s="373"/>
      <c r="H643" s="60"/>
      <c r="I643" s="60"/>
      <c r="J643" s="60"/>
      <c r="K643" s="115"/>
    </row>
    <row r="644" spans="1:11" ht="12.75">
      <c r="A644" s="372"/>
      <c r="B644" s="372"/>
      <c r="C644" s="115"/>
      <c r="D644" s="115"/>
      <c r="E644" s="115"/>
      <c r="F644" s="60"/>
      <c r="G644" s="373"/>
      <c r="H644" s="60"/>
      <c r="I644" s="60"/>
      <c r="J644" s="60"/>
      <c r="K644" s="115"/>
    </row>
    <row r="645" spans="1:11" ht="12.75">
      <c r="A645" s="372"/>
      <c r="B645" s="372"/>
      <c r="C645" s="115"/>
      <c r="D645" s="115"/>
      <c r="E645" s="115"/>
      <c r="F645" s="60"/>
      <c r="G645" s="373"/>
      <c r="H645" s="60"/>
      <c r="I645" s="60"/>
      <c r="J645" s="60"/>
      <c r="K645" s="115"/>
    </row>
    <row r="646" spans="1:11" ht="12.75">
      <c r="A646" s="372"/>
      <c r="B646" s="372"/>
      <c r="C646" s="115"/>
      <c r="D646" s="115"/>
      <c r="E646" s="115"/>
      <c r="F646" s="60"/>
      <c r="G646" s="373"/>
      <c r="H646" s="60"/>
      <c r="I646" s="60"/>
      <c r="J646" s="60"/>
      <c r="K646" s="115"/>
    </row>
    <row r="647" spans="1:11" ht="12.75">
      <c r="A647" s="372"/>
      <c r="B647" s="372"/>
      <c r="C647" s="115"/>
      <c r="D647" s="115"/>
      <c r="E647" s="115"/>
      <c r="F647" s="60"/>
      <c r="G647" s="373"/>
      <c r="H647" s="60"/>
      <c r="I647" s="60"/>
      <c r="J647" s="60"/>
      <c r="K647" s="115"/>
    </row>
    <row r="648" spans="1:11" ht="12.75">
      <c r="A648" s="372"/>
      <c r="B648" s="372"/>
      <c r="C648" s="115"/>
      <c r="D648" s="115"/>
      <c r="E648" s="115"/>
      <c r="F648" s="60"/>
      <c r="G648" s="373"/>
      <c r="H648" s="60"/>
      <c r="I648" s="60"/>
      <c r="J648" s="60"/>
      <c r="K648" s="115"/>
    </row>
    <row r="649" spans="1:11" ht="12.75">
      <c r="A649" s="372"/>
      <c r="B649" s="372"/>
      <c r="C649" s="115"/>
      <c r="D649" s="115"/>
      <c r="E649" s="115"/>
      <c r="F649" s="60"/>
      <c r="G649" s="373"/>
      <c r="H649" s="60"/>
      <c r="I649" s="60"/>
      <c r="J649" s="60"/>
      <c r="K649" s="115"/>
    </row>
    <row r="650" spans="1:11" ht="12.75">
      <c r="A650" s="372"/>
      <c r="B650" s="372"/>
      <c r="C650" s="115"/>
      <c r="D650" s="115"/>
      <c r="E650" s="115"/>
      <c r="F650" s="60"/>
      <c r="G650" s="373"/>
      <c r="H650" s="60"/>
      <c r="I650" s="60"/>
      <c r="J650" s="60"/>
      <c r="K650" s="115"/>
    </row>
    <row r="651" spans="1:11" ht="12.75">
      <c r="A651" s="372"/>
      <c r="B651" s="372"/>
      <c r="C651" s="115"/>
      <c r="D651" s="115"/>
      <c r="E651" s="115"/>
      <c r="F651" s="60"/>
      <c r="G651" s="373"/>
      <c r="H651" s="60"/>
      <c r="I651" s="60"/>
      <c r="J651" s="60"/>
      <c r="K651" s="115"/>
    </row>
    <row r="652" spans="1:11" ht="12.75">
      <c r="A652" s="372"/>
      <c r="B652" s="372"/>
      <c r="C652" s="115"/>
      <c r="D652" s="115"/>
      <c r="E652" s="115"/>
      <c r="F652" s="60"/>
      <c r="G652" s="373"/>
      <c r="H652" s="60"/>
      <c r="I652" s="60"/>
      <c r="J652" s="60"/>
      <c r="K652" s="115"/>
    </row>
    <row r="653" spans="1:11" ht="12.75">
      <c r="A653" s="372"/>
      <c r="B653" s="372"/>
      <c r="C653" s="115"/>
      <c r="D653" s="115"/>
      <c r="E653" s="115"/>
      <c r="F653" s="60"/>
      <c r="G653" s="373"/>
      <c r="H653" s="60"/>
      <c r="I653" s="60"/>
      <c r="J653" s="60"/>
      <c r="K653" s="115"/>
    </row>
    <row r="654" spans="1:11" ht="12.75">
      <c r="A654" s="372"/>
      <c r="B654" s="372"/>
      <c r="C654" s="115"/>
      <c r="D654" s="115"/>
      <c r="E654" s="115"/>
      <c r="F654" s="60"/>
      <c r="G654" s="373"/>
      <c r="H654" s="60"/>
      <c r="I654" s="60"/>
      <c r="J654" s="60"/>
      <c r="K654" s="115"/>
    </row>
    <row r="655" spans="1:11" ht="12.75">
      <c r="A655" s="372"/>
      <c r="B655" s="372"/>
      <c r="C655" s="115"/>
      <c r="D655" s="115"/>
      <c r="E655" s="115"/>
      <c r="F655" s="60"/>
      <c r="G655" s="373"/>
      <c r="H655" s="60"/>
      <c r="I655" s="60"/>
      <c r="J655" s="60"/>
      <c r="K655" s="115"/>
    </row>
    <row r="656" spans="1:11" ht="12.75">
      <c r="A656" s="372"/>
      <c r="B656" s="372"/>
      <c r="C656" s="115"/>
      <c r="D656" s="115"/>
      <c r="E656" s="115"/>
      <c r="F656" s="60"/>
      <c r="G656" s="373"/>
      <c r="H656" s="60"/>
      <c r="I656" s="60"/>
      <c r="J656" s="60"/>
      <c r="K656" s="115"/>
    </row>
    <row r="657" spans="1:11" ht="12.75">
      <c r="A657" s="372"/>
      <c r="B657" s="372"/>
      <c r="C657" s="115"/>
      <c r="D657" s="115"/>
      <c r="E657" s="115"/>
      <c r="F657" s="60"/>
      <c r="G657" s="373"/>
      <c r="H657" s="60"/>
      <c r="I657" s="60"/>
      <c r="J657" s="60"/>
      <c r="K657" s="115"/>
    </row>
    <row r="658" spans="1:11" ht="12.75">
      <c r="A658" s="372"/>
      <c r="B658" s="372"/>
      <c r="C658" s="115"/>
      <c r="D658" s="115"/>
      <c r="E658" s="115"/>
      <c r="F658" s="60"/>
      <c r="G658" s="373"/>
      <c r="H658" s="60"/>
      <c r="I658" s="60"/>
      <c r="J658" s="60"/>
      <c r="K658" s="115"/>
    </row>
    <row r="659" spans="1:11" ht="12.75">
      <c r="A659" s="372"/>
      <c r="B659" s="372"/>
      <c r="C659" s="115"/>
      <c r="D659" s="115"/>
      <c r="E659" s="115"/>
      <c r="F659" s="60"/>
      <c r="G659" s="373"/>
      <c r="H659" s="60"/>
      <c r="I659" s="60"/>
      <c r="J659" s="60"/>
      <c r="K659" s="115"/>
    </row>
    <row r="660" spans="1:11" ht="12.75">
      <c r="A660" s="372"/>
      <c r="B660" s="372"/>
      <c r="C660" s="115"/>
      <c r="D660" s="115"/>
      <c r="E660" s="115"/>
      <c r="F660" s="60"/>
      <c r="G660" s="373"/>
      <c r="H660" s="60"/>
      <c r="I660" s="60"/>
      <c r="J660" s="60"/>
      <c r="K660" s="115"/>
    </row>
    <row r="661" spans="1:11" ht="12.75">
      <c r="A661" s="372"/>
      <c r="B661" s="372"/>
      <c r="C661" s="115"/>
      <c r="D661" s="115"/>
      <c r="E661" s="115"/>
      <c r="F661" s="60"/>
      <c r="G661" s="373"/>
      <c r="H661" s="60"/>
      <c r="I661" s="60"/>
      <c r="J661" s="60"/>
      <c r="K661" s="115"/>
    </row>
    <row r="662" spans="1:11" ht="12.75">
      <c r="A662" s="372"/>
      <c r="B662" s="372"/>
      <c r="C662" s="115"/>
      <c r="D662" s="115"/>
      <c r="E662" s="115"/>
      <c r="F662" s="60"/>
      <c r="G662" s="373"/>
      <c r="H662" s="60"/>
      <c r="I662" s="60"/>
      <c r="J662" s="60"/>
      <c r="K662" s="115"/>
    </row>
    <row r="663" spans="1:11" ht="12.75">
      <c r="A663" s="372"/>
      <c r="B663" s="372"/>
      <c r="C663" s="115"/>
      <c r="D663" s="115"/>
      <c r="E663" s="115"/>
      <c r="F663" s="60"/>
      <c r="G663" s="373"/>
      <c r="H663" s="60"/>
      <c r="I663" s="60"/>
      <c r="J663" s="60"/>
      <c r="K663" s="115"/>
    </row>
    <row r="664" spans="1:11" ht="12.75">
      <c r="A664" s="372"/>
      <c r="B664" s="372"/>
      <c r="C664" s="115"/>
      <c r="D664" s="115"/>
      <c r="E664" s="115"/>
      <c r="F664" s="60"/>
      <c r="G664" s="373"/>
      <c r="H664" s="60"/>
      <c r="I664" s="60"/>
      <c r="J664" s="60"/>
      <c r="K664" s="115"/>
    </row>
    <row r="665" spans="1:11" ht="12.75">
      <c r="A665" s="372"/>
      <c r="B665" s="372"/>
      <c r="C665" s="115"/>
      <c r="D665" s="115"/>
      <c r="E665" s="115"/>
      <c r="F665" s="60"/>
      <c r="G665" s="373"/>
      <c r="H665" s="60"/>
      <c r="I665" s="60"/>
      <c r="J665" s="60"/>
      <c r="K665" s="115"/>
    </row>
    <row r="666" spans="1:11" ht="12.75">
      <c r="A666" s="372"/>
      <c r="B666" s="372"/>
      <c r="C666" s="115"/>
      <c r="D666" s="115"/>
      <c r="E666" s="115"/>
      <c r="F666" s="60"/>
      <c r="G666" s="373"/>
      <c r="H666" s="60"/>
      <c r="I666" s="60"/>
      <c r="J666" s="60"/>
      <c r="K666" s="115"/>
    </row>
    <row r="667" spans="1:11" ht="12.75">
      <c r="A667" s="372"/>
      <c r="B667" s="372"/>
      <c r="C667" s="115"/>
      <c r="D667" s="115"/>
      <c r="E667" s="115"/>
      <c r="F667" s="60"/>
      <c r="G667" s="373"/>
      <c r="H667" s="60"/>
      <c r="I667" s="60"/>
      <c r="J667" s="60"/>
      <c r="K667" s="115"/>
    </row>
    <row r="668" spans="1:11" ht="12.75">
      <c r="A668" s="372"/>
      <c r="B668" s="372"/>
      <c r="C668" s="115"/>
      <c r="D668" s="115"/>
      <c r="E668" s="115"/>
      <c r="F668" s="60"/>
      <c r="G668" s="373"/>
      <c r="H668" s="60"/>
      <c r="I668" s="60"/>
      <c r="J668" s="60"/>
      <c r="K668" s="115"/>
    </row>
    <row r="669" spans="1:11" ht="12.75">
      <c r="A669" s="372"/>
      <c r="B669" s="372"/>
      <c r="C669" s="115"/>
      <c r="D669" s="115"/>
      <c r="E669" s="115"/>
      <c r="F669" s="60"/>
      <c r="G669" s="373"/>
      <c r="H669" s="60"/>
      <c r="I669" s="60"/>
      <c r="J669" s="60"/>
      <c r="K669" s="115"/>
    </row>
    <row r="670" spans="1:11" ht="12.75">
      <c r="A670" s="372"/>
      <c r="B670" s="372"/>
      <c r="C670" s="115"/>
      <c r="D670" s="115"/>
      <c r="E670" s="115"/>
      <c r="F670" s="60"/>
      <c r="G670" s="373"/>
      <c r="H670" s="60"/>
      <c r="I670" s="60"/>
      <c r="J670" s="60"/>
      <c r="K670" s="115"/>
    </row>
    <row r="671" spans="1:11" ht="12.75">
      <c r="A671" s="372"/>
      <c r="B671" s="372"/>
      <c r="C671" s="115"/>
      <c r="D671" s="115"/>
      <c r="E671" s="115"/>
      <c r="F671" s="60"/>
      <c r="G671" s="373"/>
      <c r="H671" s="60"/>
      <c r="I671" s="60"/>
      <c r="J671" s="60"/>
      <c r="K671" s="115"/>
    </row>
    <row r="672" spans="1:11" ht="12.75">
      <c r="A672" s="372"/>
      <c r="B672" s="372"/>
      <c r="C672" s="115"/>
      <c r="D672" s="115"/>
      <c r="E672" s="115"/>
      <c r="F672" s="60"/>
      <c r="G672" s="373"/>
      <c r="H672" s="60"/>
      <c r="I672" s="60"/>
      <c r="J672" s="60"/>
      <c r="K672" s="115"/>
    </row>
    <row r="673" spans="1:11" ht="12.75">
      <c r="A673" s="372"/>
      <c r="B673" s="372"/>
      <c r="C673" s="115"/>
      <c r="D673" s="115"/>
      <c r="E673" s="115"/>
      <c r="F673" s="60"/>
      <c r="G673" s="373"/>
      <c r="H673" s="60"/>
      <c r="I673" s="60"/>
      <c r="J673" s="60"/>
      <c r="K673" s="115"/>
    </row>
    <row r="674" spans="1:11" ht="12.75">
      <c r="A674" s="372"/>
      <c r="B674" s="372"/>
      <c r="C674" s="115"/>
      <c r="D674" s="115"/>
      <c r="E674" s="115"/>
      <c r="F674" s="60"/>
      <c r="G674" s="373"/>
      <c r="H674" s="60"/>
      <c r="I674" s="60"/>
      <c r="J674" s="60"/>
      <c r="K674" s="115"/>
    </row>
    <row r="675" spans="1:11" ht="12.75">
      <c r="A675" s="372"/>
      <c r="B675" s="372"/>
      <c r="C675" s="115"/>
      <c r="D675" s="115"/>
      <c r="E675" s="115"/>
      <c r="F675" s="60"/>
      <c r="G675" s="373"/>
      <c r="H675" s="60"/>
      <c r="I675" s="60"/>
      <c r="J675" s="60"/>
      <c r="K675" s="115"/>
    </row>
    <row r="676" spans="1:11" ht="12.75">
      <c r="A676" s="372"/>
      <c r="B676" s="372"/>
      <c r="C676" s="115"/>
      <c r="D676" s="115"/>
      <c r="E676" s="115"/>
      <c r="F676" s="60"/>
      <c r="G676" s="373"/>
      <c r="H676" s="60"/>
      <c r="I676" s="60"/>
      <c r="J676" s="60"/>
      <c r="K676" s="115"/>
    </row>
    <row r="677" spans="1:11" ht="12.75">
      <c r="A677" s="372"/>
      <c r="B677" s="372"/>
      <c r="C677" s="115"/>
      <c r="D677" s="115"/>
      <c r="E677" s="115"/>
      <c r="F677" s="60"/>
      <c r="G677" s="373"/>
      <c r="H677" s="60"/>
      <c r="I677" s="60"/>
      <c r="J677" s="60"/>
      <c r="K677" s="115"/>
    </row>
    <row r="678" spans="1:11" ht="12.75">
      <c r="A678" s="372"/>
      <c r="B678" s="372"/>
      <c r="C678" s="115"/>
      <c r="D678" s="115"/>
      <c r="E678" s="115"/>
      <c r="F678" s="60"/>
      <c r="G678" s="373"/>
      <c r="H678" s="60"/>
      <c r="I678" s="60"/>
      <c r="J678" s="60"/>
      <c r="K678" s="115"/>
    </row>
    <row r="679" spans="1:11" ht="12.75">
      <c r="A679" s="372"/>
      <c r="B679" s="372"/>
      <c r="C679" s="115"/>
      <c r="D679" s="115"/>
      <c r="E679" s="115"/>
      <c r="F679" s="60"/>
      <c r="G679" s="373"/>
      <c r="H679" s="60"/>
      <c r="I679" s="60"/>
      <c r="J679" s="60"/>
      <c r="K679" s="115"/>
    </row>
    <row r="680" spans="1:11" ht="12.75">
      <c r="A680" s="372"/>
      <c r="B680" s="372"/>
      <c r="C680" s="115"/>
      <c r="D680" s="115"/>
      <c r="E680" s="115"/>
      <c r="F680" s="60"/>
      <c r="G680" s="373"/>
      <c r="H680" s="60"/>
      <c r="I680" s="60"/>
      <c r="J680" s="60"/>
      <c r="K680" s="115"/>
    </row>
    <row r="681" spans="1:11" ht="12.75">
      <c r="A681" s="372"/>
      <c r="B681" s="372"/>
      <c r="C681" s="115"/>
      <c r="D681" s="115"/>
      <c r="E681" s="115"/>
      <c r="F681" s="60"/>
      <c r="G681" s="373"/>
      <c r="H681" s="60"/>
      <c r="I681" s="60"/>
      <c r="J681" s="60"/>
      <c r="K681" s="115"/>
    </row>
    <row r="682" spans="1:11" ht="12.75">
      <c r="A682" s="372"/>
      <c r="B682" s="372"/>
      <c r="C682" s="115"/>
      <c r="D682" s="115"/>
      <c r="E682" s="115"/>
      <c r="F682" s="60"/>
      <c r="G682" s="373"/>
      <c r="H682" s="60"/>
      <c r="I682" s="60"/>
      <c r="J682" s="60"/>
      <c r="K682" s="115"/>
    </row>
    <row r="683" spans="1:11" ht="12.75">
      <c r="A683" s="372"/>
      <c r="B683" s="372"/>
      <c r="C683" s="115"/>
      <c r="D683" s="115"/>
      <c r="E683" s="115"/>
      <c r="F683" s="60"/>
      <c r="G683" s="373"/>
      <c r="H683" s="60"/>
      <c r="I683" s="60"/>
      <c r="J683" s="60"/>
      <c r="K683" s="115"/>
    </row>
    <row r="684" spans="1:11" ht="12.75">
      <c r="A684" s="372"/>
      <c r="B684" s="372"/>
      <c r="C684" s="115"/>
      <c r="D684" s="115"/>
      <c r="E684" s="115"/>
      <c r="F684" s="60"/>
      <c r="G684" s="373"/>
      <c r="H684" s="60"/>
      <c r="I684" s="60"/>
      <c r="J684" s="60"/>
      <c r="K684" s="115"/>
    </row>
    <row r="685" spans="1:11" ht="12.75">
      <c r="A685" s="372"/>
      <c r="B685" s="372"/>
      <c r="C685" s="115"/>
      <c r="D685" s="115"/>
      <c r="E685" s="115"/>
      <c r="F685" s="60"/>
      <c r="G685" s="373"/>
      <c r="H685" s="60"/>
      <c r="I685" s="60"/>
      <c r="J685" s="60"/>
      <c r="K685" s="115"/>
    </row>
    <row r="686" spans="1:11" ht="12.75">
      <c r="A686" s="372"/>
      <c r="B686" s="372"/>
      <c r="C686" s="115"/>
      <c r="D686" s="115"/>
      <c r="E686" s="115"/>
      <c r="F686" s="60"/>
      <c r="G686" s="373"/>
      <c r="H686" s="60"/>
      <c r="I686" s="60"/>
      <c r="J686" s="60"/>
      <c r="K686" s="115"/>
    </row>
    <row r="687" spans="1:11" ht="12.75">
      <c r="A687" s="372"/>
      <c r="B687" s="372"/>
      <c r="C687" s="115"/>
      <c r="D687" s="115"/>
      <c r="E687" s="115"/>
      <c r="F687" s="60"/>
      <c r="G687" s="373"/>
      <c r="H687" s="60"/>
      <c r="I687" s="60"/>
      <c r="J687" s="60"/>
      <c r="K687" s="115"/>
    </row>
    <row r="688" spans="1:11" ht="12.75">
      <c r="A688" s="372"/>
      <c r="B688" s="372"/>
      <c r="C688" s="115"/>
      <c r="D688" s="115"/>
      <c r="E688" s="115"/>
      <c r="F688" s="60"/>
      <c r="G688" s="373"/>
      <c r="H688" s="60"/>
      <c r="I688" s="60"/>
      <c r="J688" s="60"/>
      <c r="K688" s="115"/>
    </row>
    <row r="689" spans="1:11" ht="12.75">
      <c r="A689" s="372"/>
      <c r="B689" s="372"/>
      <c r="C689" s="115"/>
      <c r="D689" s="115"/>
      <c r="E689" s="115"/>
      <c r="F689" s="60"/>
      <c r="G689" s="373"/>
      <c r="H689" s="60"/>
      <c r="I689" s="60"/>
      <c r="J689" s="60"/>
      <c r="K689" s="115"/>
    </row>
    <row r="690" spans="1:11" ht="12.75">
      <c r="A690" s="372"/>
      <c r="B690" s="372"/>
      <c r="C690" s="115"/>
      <c r="D690" s="115"/>
      <c r="E690" s="115"/>
      <c r="F690" s="60"/>
      <c r="G690" s="373"/>
      <c r="H690" s="60"/>
      <c r="I690" s="60"/>
      <c r="J690" s="60"/>
      <c r="K690" s="115"/>
    </row>
    <row r="691" spans="1:11" ht="12.75">
      <c r="A691" s="372"/>
      <c r="B691" s="372"/>
      <c r="C691" s="115"/>
      <c r="D691" s="115"/>
      <c r="E691" s="115"/>
      <c r="F691" s="60"/>
      <c r="G691" s="373"/>
      <c r="H691" s="60"/>
      <c r="I691" s="60"/>
      <c r="J691" s="60"/>
      <c r="K691" s="115"/>
    </row>
    <row r="692" spans="1:11" ht="12.75">
      <c r="A692" s="372"/>
      <c r="B692" s="372"/>
      <c r="C692" s="115"/>
      <c r="D692" s="115"/>
      <c r="E692" s="115"/>
      <c r="F692" s="60"/>
      <c r="G692" s="373"/>
      <c r="H692" s="60"/>
      <c r="I692" s="60"/>
      <c r="J692" s="60"/>
      <c r="K692" s="115"/>
    </row>
    <row r="693" spans="1:11" ht="12.75">
      <c r="A693" s="372"/>
      <c r="B693" s="372"/>
      <c r="C693" s="115"/>
      <c r="D693" s="115"/>
      <c r="E693" s="115"/>
      <c r="F693" s="60"/>
      <c r="G693" s="373"/>
      <c r="H693" s="60"/>
      <c r="I693" s="60"/>
      <c r="J693" s="60"/>
      <c r="K693" s="115"/>
    </row>
    <row r="694" spans="1:11" ht="12.75">
      <c r="A694" s="372"/>
      <c r="B694" s="372"/>
      <c r="C694" s="115"/>
      <c r="D694" s="115"/>
      <c r="E694" s="115"/>
      <c r="F694" s="60"/>
      <c r="G694" s="373"/>
      <c r="H694" s="60"/>
      <c r="I694" s="60"/>
      <c r="J694" s="60"/>
      <c r="K694" s="115"/>
    </row>
    <row r="695" spans="1:11" ht="12.75">
      <c r="A695" s="372"/>
      <c r="B695" s="372"/>
      <c r="C695" s="115"/>
      <c r="D695" s="115"/>
      <c r="E695" s="115"/>
      <c r="F695" s="60"/>
      <c r="G695" s="373"/>
      <c r="H695" s="60"/>
      <c r="I695" s="60"/>
      <c r="J695" s="60"/>
      <c r="K695" s="115"/>
    </row>
    <row r="696" spans="1:11" ht="12.75">
      <c r="A696" s="372"/>
      <c r="B696" s="372"/>
      <c r="C696" s="115"/>
      <c r="D696" s="115"/>
      <c r="E696" s="115"/>
      <c r="F696" s="60"/>
      <c r="G696" s="373"/>
      <c r="H696" s="60"/>
      <c r="I696" s="60"/>
      <c r="J696" s="60"/>
      <c r="K696" s="115"/>
    </row>
    <row r="697" spans="1:11" ht="12.75">
      <c r="A697" s="372"/>
      <c r="B697" s="372"/>
      <c r="C697" s="115"/>
      <c r="D697" s="115"/>
      <c r="E697" s="115"/>
      <c r="F697" s="60"/>
      <c r="G697" s="373"/>
      <c r="H697" s="60"/>
      <c r="I697" s="60"/>
      <c r="J697" s="60"/>
      <c r="K697" s="115"/>
    </row>
    <row r="698" spans="1:11" ht="12.75">
      <c r="A698" s="372"/>
      <c r="B698" s="372"/>
      <c r="C698" s="115"/>
      <c r="D698" s="115"/>
      <c r="E698" s="115"/>
      <c r="F698" s="60"/>
      <c r="G698" s="373"/>
      <c r="H698" s="60"/>
      <c r="I698" s="60"/>
      <c r="J698" s="60"/>
      <c r="K698" s="115"/>
    </row>
    <row r="699" spans="1:11" ht="12.75">
      <c r="A699" s="372"/>
      <c r="B699" s="372"/>
      <c r="C699" s="115"/>
      <c r="D699" s="115"/>
      <c r="E699" s="115"/>
      <c r="F699" s="60"/>
      <c r="G699" s="373"/>
      <c r="H699" s="60"/>
      <c r="I699" s="60"/>
      <c r="J699" s="60"/>
      <c r="K699" s="115"/>
    </row>
    <row r="700" spans="1:11" ht="12.75">
      <c r="A700" s="372"/>
      <c r="B700" s="372"/>
      <c r="C700" s="115"/>
      <c r="D700" s="115"/>
      <c r="E700" s="115"/>
      <c r="F700" s="60"/>
      <c r="G700" s="373"/>
      <c r="H700" s="60"/>
      <c r="I700" s="60"/>
      <c r="J700" s="60"/>
      <c r="K700" s="115"/>
    </row>
    <row r="701" spans="1:11" ht="12.75">
      <c r="A701" s="372"/>
      <c r="B701" s="372"/>
      <c r="C701" s="115"/>
      <c r="D701" s="115"/>
      <c r="E701" s="115"/>
      <c r="F701" s="60"/>
      <c r="G701" s="373"/>
      <c r="H701" s="60"/>
      <c r="I701" s="60"/>
      <c r="J701" s="60"/>
      <c r="K701" s="115"/>
    </row>
    <row r="702" spans="1:11" ht="12.75">
      <c r="A702" s="372"/>
      <c r="B702" s="372"/>
      <c r="C702" s="115"/>
      <c r="D702" s="115"/>
      <c r="E702" s="115"/>
      <c r="F702" s="60"/>
      <c r="G702" s="373"/>
      <c r="H702" s="60"/>
      <c r="I702" s="60"/>
      <c r="J702" s="60"/>
      <c r="K702" s="115"/>
    </row>
    <row r="703" spans="1:11" ht="12.75">
      <c r="A703" s="372"/>
      <c r="B703" s="372"/>
      <c r="C703" s="115"/>
      <c r="D703" s="115"/>
      <c r="E703" s="115"/>
      <c r="F703" s="60"/>
      <c r="G703" s="373"/>
      <c r="H703" s="60"/>
      <c r="I703" s="60"/>
      <c r="J703" s="60"/>
      <c r="K703" s="115"/>
    </row>
    <row r="704" spans="1:11" ht="12.75">
      <c r="A704" s="372"/>
      <c r="B704" s="372"/>
      <c r="C704" s="115"/>
      <c r="D704" s="115"/>
      <c r="E704" s="115"/>
      <c r="F704" s="60"/>
      <c r="G704" s="373"/>
      <c r="H704" s="60"/>
      <c r="I704" s="60"/>
      <c r="J704" s="60"/>
      <c r="K704" s="115"/>
    </row>
    <row r="705" spans="1:11" ht="12.75">
      <c r="A705" s="372"/>
      <c r="B705" s="372"/>
      <c r="C705" s="115"/>
      <c r="D705" s="115"/>
      <c r="E705" s="115"/>
      <c r="F705" s="60"/>
      <c r="G705" s="373"/>
      <c r="H705" s="60"/>
      <c r="I705" s="60"/>
      <c r="J705" s="60"/>
      <c r="K705" s="115"/>
    </row>
    <row r="706" spans="1:11" ht="12.75">
      <c r="A706" s="372"/>
      <c r="B706" s="372"/>
      <c r="C706" s="115"/>
      <c r="D706" s="115"/>
      <c r="E706" s="115"/>
      <c r="F706" s="60"/>
      <c r="G706" s="373"/>
      <c r="H706" s="60"/>
      <c r="I706" s="60"/>
      <c r="J706" s="60"/>
      <c r="K706" s="115"/>
    </row>
    <row r="707" spans="1:11" ht="12.75">
      <c r="A707" s="372"/>
      <c r="B707" s="372"/>
      <c r="C707" s="115"/>
      <c r="D707" s="115"/>
      <c r="E707" s="115"/>
      <c r="F707" s="60"/>
      <c r="G707" s="373"/>
      <c r="H707" s="60"/>
      <c r="I707" s="60"/>
      <c r="J707" s="60"/>
      <c r="K707" s="115"/>
    </row>
    <row r="708" spans="1:11" ht="12.75">
      <c r="A708" s="372"/>
      <c r="B708" s="372"/>
      <c r="C708" s="115"/>
      <c r="D708" s="115"/>
      <c r="E708" s="115"/>
      <c r="F708" s="60"/>
      <c r="G708" s="373"/>
      <c r="H708" s="60"/>
      <c r="I708" s="60"/>
      <c r="J708" s="60"/>
      <c r="K708" s="115"/>
    </row>
    <row r="709" spans="1:11" ht="12.75">
      <c r="A709" s="372"/>
      <c r="B709" s="372"/>
      <c r="C709" s="115"/>
      <c r="D709" s="115"/>
      <c r="E709" s="115"/>
      <c r="F709" s="60"/>
      <c r="G709" s="373"/>
      <c r="H709" s="60"/>
      <c r="I709" s="60"/>
      <c r="J709" s="60"/>
      <c r="K709" s="115"/>
    </row>
    <row r="710" spans="1:11" ht="12.75">
      <c r="A710" s="372"/>
      <c r="B710" s="372"/>
      <c r="C710" s="115"/>
      <c r="D710" s="115"/>
      <c r="E710" s="115"/>
      <c r="F710" s="60"/>
      <c r="G710" s="373"/>
      <c r="H710" s="60"/>
      <c r="I710" s="60"/>
      <c r="J710" s="60"/>
      <c r="K710" s="115"/>
    </row>
    <row r="711" spans="1:11" ht="12.75">
      <c r="A711" s="372"/>
      <c r="B711" s="372"/>
      <c r="C711" s="115"/>
      <c r="D711" s="115"/>
      <c r="E711" s="115"/>
      <c r="F711" s="60"/>
      <c r="G711" s="373"/>
      <c r="H711" s="60"/>
      <c r="I711" s="60"/>
      <c r="J711" s="60"/>
      <c r="K711" s="115"/>
    </row>
    <row r="712" spans="1:11" ht="12.75">
      <c r="A712" s="372"/>
      <c r="B712" s="372"/>
      <c r="C712" s="115"/>
      <c r="D712" s="115"/>
      <c r="E712" s="115"/>
      <c r="F712" s="60"/>
      <c r="G712" s="373"/>
      <c r="H712" s="60"/>
      <c r="I712" s="60"/>
      <c r="J712" s="60"/>
      <c r="K712" s="115"/>
    </row>
    <row r="713" spans="1:11" ht="12.75">
      <c r="A713" s="372"/>
      <c r="B713" s="372"/>
      <c r="C713" s="115"/>
      <c r="D713" s="115"/>
      <c r="E713" s="115"/>
      <c r="F713" s="60"/>
      <c r="G713" s="373"/>
      <c r="H713" s="60"/>
      <c r="I713" s="60"/>
      <c r="J713" s="60"/>
      <c r="K713" s="115"/>
    </row>
    <row r="714" spans="1:11" ht="12.75">
      <c r="A714" s="372"/>
      <c r="B714" s="372"/>
      <c r="C714" s="115"/>
      <c r="D714" s="115"/>
      <c r="E714" s="115"/>
      <c r="F714" s="60"/>
      <c r="G714" s="373"/>
      <c r="H714" s="60"/>
      <c r="I714" s="60"/>
      <c r="J714" s="60"/>
      <c r="K714" s="115"/>
    </row>
    <row r="715" spans="1:11" ht="12.75">
      <c r="A715" s="372"/>
      <c r="B715" s="372"/>
      <c r="C715" s="115"/>
      <c r="D715" s="115"/>
      <c r="E715" s="115"/>
      <c r="F715" s="60"/>
      <c r="G715" s="373"/>
      <c r="H715" s="60"/>
      <c r="I715" s="60"/>
      <c r="J715" s="60"/>
      <c r="K715" s="115"/>
    </row>
    <row r="716" spans="1:11" ht="12.75">
      <c r="A716" s="372"/>
      <c r="B716" s="372"/>
      <c r="C716" s="115"/>
      <c r="D716" s="115"/>
      <c r="E716" s="115"/>
      <c r="F716" s="60"/>
      <c r="G716" s="373"/>
      <c r="H716" s="60"/>
      <c r="I716" s="60"/>
      <c r="J716" s="60"/>
      <c r="K716" s="115"/>
    </row>
    <row r="717" spans="1:11" ht="12.75">
      <c r="A717" s="372"/>
      <c r="B717" s="372"/>
      <c r="C717" s="115"/>
      <c r="D717" s="115"/>
      <c r="E717" s="115"/>
      <c r="F717" s="60"/>
      <c r="G717" s="373"/>
      <c r="H717" s="60"/>
      <c r="I717" s="60"/>
      <c r="J717" s="60"/>
      <c r="K717" s="115"/>
    </row>
    <row r="718" spans="1:11" ht="12.75">
      <c r="A718" s="372"/>
      <c r="B718" s="372"/>
      <c r="C718" s="115"/>
      <c r="D718" s="115"/>
      <c r="E718" s="115"/>
      <c r="F718" s="60"/>
      <c r="G718" s="373"/>
      <c r="H718" s="60"/>
      <c r="I718" s="60"/>
      <c r="J718" s="60"/>
      <c r="K718" s="115"/>
    </row>
    <row r="719" spans="1:11" ht="12.75">
      <c r="A719" s="372"/>
      <c r="B719" s="372"/>
      <c r="C719" s="115"/>
      <c r="D719" s="115"/>
      <c r="E719" s="115"/>
      <c r="F719" s="60"/>
      <c r="G719" s="373"/>
      <c r="H719" s="60"/>
      <c r="I719" s="60"/>
      <c r="J719" s="60"/>
      <c r="K719" s="115"/>
    </row>
    <row r="720" spans="1:11" ht="12.75">
      <c r="A720" s="372"/>
      <c r="B720" s="372"/>
      <c r="C720" s="115"/>
      <c r="D720" s="115"/>
      <c r="E720" s="115"/>
      <c r="F720" s="60"/>
      <c r="G720" s="373"/>
      <c r="H720" s="60"/>
      <c r="I720" s="60"/>
      <c r="J720" s="60"/>
      <c r="K720" s="115"/>
    </row>
    <row r="721" spans="1:11" ht="12.75">
      <c r="A721" s="372"/>
      <c r="B721" s="372"/>
      <c r="C721" s="115"/>
      <c r="D721" s="115"/>
      <c r="E721" s="115"/>
      <c r="F721" s="60"/>
      <c r="G721" s="373"/>
      <c r="H721" s="60"/>
      <c r="I721" s="60"/>
      <c r="J721" s="60"/>
      <c r="K721" s="115"/>
    </row>
    <row r="722" spans="1:11" ht="12.75">
      <c r="A722" s="372"/>
      <c r="B722" s="372"/>
      <c r="C722" s="115"/>
      <c r="D722" s="115"/>
      <c r="E722" s="115"/>
      <c r="F722" s="60"/>
      <c r="G722" s="373"/>
      <c r="H722" s="60"/>
      <c r="I722" s="60"/>
      <c r="J722" s="60"/>
      <c r="K722" s="115"/>
    </row>
    <row r="723" spans="1:11" ht="12.75">
      <c r="A723" s="372"/>
      <c r="B723" s="372"/>
      <c r="C723" s="115"/>
      <c r="D723" s="115"/>
      <c r="E723" s="115"/>
      <c r="F723" s="60"/>
      <c r="G723" s="373"/>
      <c r="H723" s="60"/>
      <c r="I723" s="60"/>
      <c r="J723" s="60"/>
      <c r="K723" s="115"/>
    </row>
    <row r="724" spans="1:11" ht="12.75">
      <c r="A724" s="372"/>
      <c r="B724" s="372"/>
      <c r="C724" s="115"/>
      <c r="D724" s="115"/>
      <c r="E724" s="115"/>
      <c r="F724" s="60"/>
      <c r="G724" s="373"/>
      <c r="H724" s="60"/>
      <c r="I724" s="60"/>
      <c r="J724" s="60"/>
      <c r="K724" s="115"/>
    </row>
    <row r="725" spans="1:11" ht="12.75">
      <c r="A725" s="372"/>
      <c r="B725" s="372"/>
      <c r="C725" s="115"/>
      <c r="D725" s="115"/>
      <c r="E725" s="115"/>
      <c r="F725" s="60"/>
      <c r="G725" s="373"/>
      <c r="H725" s="60"/>
      <c r="I725" s="60"/>
      <c r="J725" s="60"/>
      <c r="K725" s="115"/>
    </row>
    <row r="726" spans="1:11" ht="12.75">
      <c r="A726" s="372"/>
      <c r="B726" s="372"/>
      <c r="C726" s="115"/>
      <c r="D726" s="115"/>
      <c r="E726" s="115"/>
      <c r="F726" s="60"/>
      <c r="G726" s="373"/>
      <c r="H726" s="60"/>
      <c r="I726" s="60"/>
      <c r="J726" s="60"/>
      <c r="K726" s="115"/>
    </row>
    <row r="727" spans="1:11" ht="12.75">
      <c r="A727" s="372"/>
      <c r="B727" s="372"/>
      <c r="C727" s="115"/>
      <c r="D727" s="115"/>
      <c r="E727" s="115"/>
      <c r="F727" s="60"/>
      <c r="G727" s="373"/>
      <c r="H727" s="60"/>
      <c r="I727" s="60"/>
      <c r="J727" s="60"/>
      <c r="K727" s="115"/>
    </row>
    <row r="728" spans="1:11" ht="12.75">
      <c r="A728" s="372"/>
      <c r="B728" s="372"/>
      <c r="C728" s="115"/>
      <c r="D728" s="115"/>
      <c r="E728" s="115"/>
      <c r="F728" s="60"/>
      <c r="G728" s="373"/>
      <c r="H728" s="60"/>
      <c r="I728" s="60"/>
      <c r="J728" s="60"/>
      <c r="K728" s="115"/>
    </row>
    <row r="729" spans="1:11" ht="12.75">
      <c r="A729" s="372"/>
      <c r="B729" s="372"/>
      <c r="C729" s="115"/>
      <c r="D729" s="115"/>
      <c r="E729" s="115"/>
      <c r="F729" s="60"/>
      <c r="G729" s="373"/>
      <c r="H729" s="60"/>
      <c r="I729" s="60"/>
      <c r="J729" s="60"/>
      <c r="K729" s="115"/>
    </row>
    <row r="730" spans="1:11" ht="12.75">
      <c r="A730" s="372"/>
      <c r="B730" s="372"/>
      <c r="C730" s="115"/>
      <c r="D730" s="115"/>
      <c r="E730" s="115"/>
      <c r="F730" s="60"/>
      <c r="G730" s="373"/>
      <c r="H730" s="60"/>
      <c r="I730" s="60"/>
      <c r="J730" s="60"/>
      <c r="K730" s="115"/>
    </row>
    <row r="731" spans="1:11" ht="12.75">
      <c r="A731" s="372"/>
      <c r="B731" s="372"/>
      <c r="C731" s="115"/>
      <c r="D731" s="115"/>
      <c r="E731" s="115"/>
      <c r="F731" s="60"/>
      <c r="G731" s="373"/>
      <c r="H731" s="60"/>
      <c r="I731" s="60"/>
      <c r="J731" s="60"/>
      <c r="K731" s="115"/>
    </row>
    <row r="732" spans="1:11" ht="12.75">
      <c r="A732" s="372"/>
      <c r="B732" s="372"/>
      <c r="C732" s="115"/>
      <c r="D732" s="115"/>
      <c r="E732" s="115"/>
      <c r="F732" s="60"/>
      <c r="G732" s="373"/>
      <c r="H732" s="60"/>
      <c r="I732" s="60"/>
      <c r="J732" s="60"/>
      <c r="K732" s="115"/>
    </row>
    <row r="733" spans="1:11" ht="12.75">
      <c r="A733" s="372"/>
      <c r="B733" s="372"/>
      <c r="C733" s="115"/>
      <c r="D733" s="115"/>
      <c r="E733" s="115"/>
      <c r="F733" s="60"/>
      <c r="G733" s="373"/>
      <c r="H733" s="60"/>
      <c r="I733" s="60"/>
      <c r="J733" s="60"/>
      <c r="K733" s="115"/>
    </row>
    <row r="734" spans="1:11" ht="12.75">
      <c r="A734" s="372"/>
      <c r="B734" s="372"/>
      <c r="C734" s="115"/>
      <c r="D734" s="115"/>
      <c r="E734" s="115"/>
      <c r="F734" s="60"/>
      <c r="G734" s="373"/>
      <c r="H734" s="60"/>
      <c r="I734" s="60"/>
      <c r="J734" s="60"/>
      <c r="K734" s="115"/>
    </row>
    <row r="735" spans="1:11" ht="12.75">
      <c r="A735" s="372"/>
      <c r="B735" s="372"/>
      <c r="C735" s="115"/>
      <c r="D735" s="115"/>
      <c r="E735" s="115"/>
      <c r="F735" s="60"/>
      <c r="G735" s="373"/>
      <c r="H735" s="60"/>
      <c r="I735" s="60"/>
      <c r="J735" s="60"/>
      <c r="K735" s="115"/>
    </row>
    <row r="736" spans="1:11" ht="12.75">
      <c r="A736" s="372"/>
      <c r="B736" s="372"/>
      <c r="C736" s="115"/>
      <c r="D736" s="115"/>
      <c r="E736" s="115"/>
      <c r="F736" s="60"/>
      <c r="G736" s="373"/>
      <c r="H736" s="60"/>
      <c r="I736" s="60"/>
      <c r="J736" s="60"/>
      <c r="K736" s="115"/>
    </row>
    <row r="737" spans="1:11" ht="12.75">
      <c r="A737" s="372"/>
      <c r="B737" s="372"/>
      <c r="C737" s="115"/>
      <c r="D737" s="115"/>
      <c r="E737" s="115"/>
      <c r="F737" s="60"/>
      <c r="G737" s="373"/>
      <c r="H737" s="60"/>
      <c r="I737" s="60"/>
      <c r="J737" s="60"/>
      <c r="K737" s="115"/>
    </row>
    <row r="738" spans="1:11" ht="12.75">
      <c r="A738" s="372"/>
      <c r="B738" s="372"/>
      <c r="C738" s="115"/>
      <c r="D738" s="115"/>
      <c r="E738" s="115"/>
      <c r="F738" s="60"/>
      <c r="G738" s="373"/>
      <c r="H738" s="60"/>
      <c r="I738" s="60"/>
      <c r="J738" s="60"/>
      <c r="K738" s="115"/>
    </row>
    <row r="739" spans="1:11" ht="12.75">
      <c r="A739" s="372"/>
      <c r="B739" s="372"/>
      <c r="C739" s="115"/>
      <c r="D739" s="115"/>
      <c r="E739" s="115"/>
      <c r="F739" s="60"/>
      <c r="G739" s="373"/>
      <c r="H739" s="60"/>
      <c r="I739" s="60"/>
      <c r="J739" s="60"/>
      <c r="K739" s="115"/>
    </row>
    <row r="740" spans="1:11" ht="12.75">
      <c r="A740" s="372"/>
      <c r="B740" s="372"/>
      <c r="C740" s="115"/>
      <c r="D740" s="115"/>
      <c r="E740" s="115"/>
      <c r="F740" s="60"/>
      <c r="G740" s="373"/>
      <c r="H740" s="60"/>
      <c r="I740" s="60"/>
      <c r="J740" s="60"/>
      <c r="K740" s="115"/>
    </row>
    <row r="741" spans="1:11" ht="12.75">
      <c r="A741" s="372"/>
      <c r="B741" s="372"/>
      <c r="C741" s="115"/>
      <c r="D741" s="115"/>
      <c r="E741" s="115"/>
      <c r="F741" s="60"/>
      <c r="G741" s="373"/>
      <c r="H741" s="60"/>
      <c r="I741" s="60"/>
      <c r="J741" s="60"/>
      <c r="K741" s="115"/>
    </row>
    <row r="742" spans="1:11" ht="12.75">
      <c r="A742" s="372"/>
      <c r="B742" s="372"/>
      <c r="C742" s="115"/>
      <c r="D742" s="115"/>
      <c r="E742" s="115"/>
      <c r="F742" s="60"/>
      <c r="G742" s="373"/>
      <c r="H742" s="60"/>
      <c r="I742" s="60"/>
      <c r="J742" s="60"/>
      <c r="K742" s="115"/>
    </row>
    <row r="743" spans="1:11" ht="12.75">
      <c r="A743" s="372"/>
      <c r="B743" s="372"/>
      <c r="C743" s="115"/>
      <c r="D743" s="115"/>
      <c r="E743" s="115"/>
      <c r="F743" s="60"/>
      <c r="G743" s="373"/>
      <c r="H743" s="60"/>
      <c r="I743" s="60"/>
      <c r="J743" s="60"/>
      <c r="K743" s="115"/>
    </row>
    <row r="744" spans="1:11" ht="12.75">
      <c r="A744" s="372"/>
      <c r="B744" s="372"/>
      <c r="C744" s="115"/>
      <c r="D744" s="115"/>
      <c r="E744" s="115"/>
      <c r="F744" s="60"/>
      <c r="G744" s="373"/>
      <c r="H744" s="60"/>
      <c r="I744" s="60"/>
      <c r="J744" s="60"/>
      <c r="K744" s="115"/>
    </row>
    <row r="745" spans="1:11" ht="12.75">
      <c r="A745" s="372"/>
      <c r="B745" s="372"/>
      <c r="C745" s="115"/>
      <c r="D745" s="115"/>
      <c r="E745" s="115"/>
      <c r="F745" s="60"/>
      <c r="G745" s="373"/>
      <c r="H745" s="60"/>
      <c r="I745" s="60"/>
      <c r="J745" s="60"/>
      <c r="K745" s="115"/>
    </row>
    <row r="746" spans="1:11" ht="12.75">
      <c r="A746" s="372"/>
      <c r="B746" s="372"/>
      <c r="C746" s="115"/>
      <c r="D746" s="115"/>
      <c r="E746" s="115"/>
      <c r="F746" s="60"/>
      <c r="G746" s="373"/>
      <c r="H746" s="60"/>
      <c r="I746" s="60"/>
      <c r="J746" s="60"/>
      <c r="K746" s="115"/>
    </row>
    <row r="747" spans="1:11" ht="12.75">
      <c r="A747" s="372"/>
      <c r="B747" s="372"/>
      <c r="C747" s="115"/>
      <c r="D747" s="115"/>
      <c r="E747" s="115"/>
      <c r="F747" s="60"/>
      <c r="G747" s="373"/>
      <c r="H747" s="60"/>
      <c r="I747" s="60"/>
      <c r="J747" s="60"/>
      <c r="K747" s="115"/>
    </row>
    <row r="748" spans="1:11" ht="12.75">
      <c r="A748" s="372"/>
      <c r="B748" s="372"/>
      <c r="C748" s="115"/>
      <c r="D748" s="115"/>
      <c r="E748" s="115"/>
      <c r="F748" s="60"/>
      <c r="G748" s="373"/>
      <c r="H748" s="60"/>
      <c r="I748" s="60"/>
      <c r="J748" s="60"/>
      <c r="K748" s="115"/>
    </row>
    <row r="749" spans="1:11" ht="12.75">
      <c r="A749" s="372"/>
      <c r="B749" s="372"/>
      <c r="C749" s="115"/>
      <c r="D749" s="115"/>
      <c r="E749" s="115"/>
      <c r="F749" s="60"/>
      <c r="G749" s="373"/>
      <c r="H749" s="60"/>
      <c r="I749" s="60"/>
      <c r="J749" s="60"/>
      <c r="K749" s="115"/>
    </row>
    <row r="750" spans="1:11" ht="12.75">
      <c r="A750" s="372"/>
      <c r="B750" s="372"/>
      <c r="C750" s="115"/>
      <c r="D750" s="115"/>
      <c r="E750" s="115"/>
      <c r="F750" s="60"/>
      <c r="G750" s="373"/>
      <c r="H750" s="60"/>
      <c r="I750" s="60"/>
      <c r="J750" s="60"/>
      <c r="K750" s="115"/>
    </row>
    <row r="751" spans="1:11" ht="12.75">
      <c r="A751" s="372"/>
      <c r="B751" s="372"/>
      <c r="C751" s="115"/>
      <c r="D751" s="115"/>
      <c r="E751" s="115"/>
      <c r="F751" s="60"/>
      <c r="G751" s="373"/>
      <c r="H751" s="60"/>
      <c r="I751" s="60"/>
      <c r="J751" s="60"/>
      <c r="K751" s="115"/>
    </row>
    <row r="752" spans="1:11" ht="12.75">
      <c r="A752" s="372"/>
      <c r="B752" s="372"/>
      <c r="C752" s="115"/>
      <c r="D752" s="115"/>
      <c r="E752" s="115"/>
      <c r="F752" s="60"/>
      <c r="G752" s="373"/>
      <c r="H752" s="60"/>
      <c r="I752" s="60"/>
      <c r="J752" s="60"/>
      <c r="K752" s="115"/>
    </row>
    <row r="753" spans="1:11" ht="12.75">
      <c r="A753" s="372"/>
      <c r="B753" s="372"/>
      <c r="C753" s="115"/>
      <c r="D753" s="115"/>
      <c r="E753" s="115"/>
      <c r="F753" s="60"/>
      <c r="G753" s="373"/>
      <c r="H753" s="60"/>
      <c r="I753" s="60"/>
      <c r="J753" s="60"/>
      <c r="K753" s="115"/>
    </row>
    <row r="754" spans="1:11" ht="12.75">
      <c r="A754" s="372"/>
      <c r="B754" s="372"/>
      <c r="C754" s="115"/>
      <c r="D754" s="115"/>
      <c r="E754" s="115"/>
      <c r="F754" s="60"/>
      <c r="G754" s="373"/>
      <c r="H754" s="60"/>
      <c r="I754" s="60"/>
      <c r="J754" s="60"/>
      <c r="K754" s="115"/>
    </row>
    <row r="755" spans="1:11" ht="12.75">
      <c r="A755" s="372"/>
      <c r="B755" s="372"/>
      <c r="C755" s="115"/>
      <c r="D755" s="115"/>
      <c r="E755" s="115"/>
      <c r="F755" s="60"/>
      <c r="G755" s="373"/>
      <c r="H755" s="60"/>
      <c r="I755" s="60"/>
      <c r="J755" s="60"/>
      <c r="K755" s="115"/>
    </row>
    <row r="756" spans="1:11" ht="12.75">
      <c r="A756" s="372"/>
      <c r="B756" s="372"/>
      <c r="C756" s="115"/>
      <c r="D756" s="115"/>
      <c r="E756" s="115"/>
      <c r="F756" s="60"/>
      <c r="G756" s="373"/>
      <c r="H756" s="60"/>
      <c r="I756" s="60"/>
      <c r="J756" s="60"/>
      <c r="K756" s="115"/>
    </row>
    <row r="757" spans="1:11" ht="12.75">
      <c r="A757" s="372"/>
      <c r="B757" s="372"/>
      <c r="C757" s="115"/>
      <c r="D757" s="115"/>
      <c r="E757" s="115"/>
      <c r="F757" s="60"/>
      <c r="G757" s="373"/>
      <c r="H757" s="60"/>
      <c r="I757" s="60"/>
      <c r="J757" s="60"/>
      <c r="K757" s="115"/>
    </row>
    <row r="758" spans="1:11" ht="12.75">
      <c r="A758" s="372"/>
      <c r="B758" s="372"/>
      <c r="C758" s="115"/>
      <c r="D758" s="115"/>
      <c r="E758" s="115"/>
      <c r="F758" s="60"/>
      <c r="G758" s="373"/>
      <c r="H758" s="60"/>
      <c r="I758" s="60"/>
      <c r="J758" s="60"/>
      <c r="K758" s="115"/>
    </row>
    <row r="759" spans="1:11" ht="12.75">
      <c r="A759" s="372"/>
      <c r="B759" s="372"/>
      <c r="C759" s="115"/>
      <c r="D759" s="115"/>
      <c r="E759" s="115"/>
      <c r="F759" s="60"/>
      <c r="G759" s="373"/>
      <c r="H759" s="60"/>
      <c r="I759" s="60"/>
      <c r="J759" s="60"/>
      <c r="K759" s="115"/>
    </row>
    <row r="760" spans="1:11" ht="12.75">
      <c r="A760" s="372"/>
      <c r="B760" s="372"/>
      <c r="C760" s="115"/>
      <c r="D760" s="115"/>
      <c r="E760" s="115"/>
      <c r="F760" s="60"/>
      <c r="G760" s="373"/>
      <c r="H760" s="60"/>
      <c r="I760" s="60"/>
      <c r="J760" s="60"/>
      <c r="K760" s="115"/>
    </row>
    <row r="761" spans="1:11" ht="12.75">
      <c r="A761" s="372"/>
      <c r="B761" s="372"/>
      <c r="C761" s="115"/>
      <c r="D761" s="115"/>
      <c r="E761" s="115"/>
      <c r="F761" s="60"/>
      <c r="G761" s="373"/>
      <c r="H761" s="60"/>
      <c r="I761" s="60"/>
      <c r="J761" s="60"/>
      <c r="K761" s="115"/>
    </row>
    <row r="762" spans="1:11" ht="12.75">
      <c r="A762" s="372"/>
      <c r="B762" s="372"/>
      <c r="C762" s="115"/>
      <c r="D762" s="115"/>
      <c r="E762" s="115"/>
      <c r="F762" s="60"/>
      <c r="G762" s="373"/>
      <c r="H762" s="60"/>
      <c r="I762" s="60"/>
      <c r="J762" s="60"/>
      <c r="K762" s="115"/>
    </row>
    <row r="763" spans="1:11" ht="12.75">
      <c r="A763" s="372"/>
      <c r="B763" s="372"/>
      <c r="C763" s="115"/>
      <c r="D763" s="115"/>
      <c r="E763" s="115"/>
      <c r="F763" s="60"/>
      <c r="G763" s="373"/>
      <c r="H763" s="60"/>
      <c r="I763" s="60"/>
      <c r="J763" s="60"/>
      <c r="K763" s="115"/>
    </row>
    <row r="764" spans="1:11" ht="12.75">
      <c r="A764" s="372"/>
      <c r="B764" s="372"/>
      <c r="C764" s="115"/>
      <c r="D764" s="115"/>
      <c r="E764" s="115"/>
      <c r="F764" s="60"/>
      <c r="G764" s="373"/>
      <c r="H764" s="60"/>
      <c r="I764" s="60"/>
      <c r="J764" s="60"/>
      <c r="K764" s="115"/>
    </row>
    <row r="765" spans="1:11" ht="12.75">
      <c r="A765" s="372"/>
      <c r="B765" s="372"/>
      <c r="C765" s="115"/>
      <c r="D765" s="115"/>
      <c r="E765" s="115"/>
      <c r="F765" s="60"/>
      <c r="G765" s="373"/>
      <c r="H765" s="60"/>
      <c r="I765" s="60"/>
      <c r="J765" s="60"/>
      <c r="K765" s="115"/>
    </row>
    <row r="766" spans="1:11" ht="12.75">
      <c r="A766" s="372"/>
      <c r="B766" s="372"/>
      <c r="C766" s="115"/>
      <c r="D766" s="115"/>
      <c r="E766" s="115"/>
      <c r="F766" s="60"/>
      <c r="G766" s="373"/>
      <c r="H766" s="60"/>
      <c r="I766" s="60"/>
      <c r="J766" s="60"/>
      <c r="K766" s="115"/>
    </row>
    <row r="767" spans="1:11" ht="12.75">
      <c r="A767" s="372"/>
      <c r="B767" s="372"/>
      <c r="C767" s="115"/>
      <c r="D767" s="115"/>
      <c r="E767" s="115"/>
      <c r="F767" s="60"/>
      <c r="G767" s="373"/>
      <c r="H767" s="60"/>
      <c r="I767" s="60"/>
      <c r="J767" s="60"/>
      <c r="K767" s="115"/>
    </row>
    <row r="768" spans="1:11" ht="12.75">
      <c r="A768" s="372"/>
      <c r="B768" s="372"/>
      <c r="C768" s="115"/>
      <c r="D768" s="115"/>
      <c r="E768" s="115"/>
      <c r="F768" s="60"/>
      <c r="G768" s="373"/>
      <c r="H768" s="60"/>
      <c r="I768" s="60"/>
      <c r="J768" s="60"/>
      <c r="K768" s="115"/>
    </row>
    <row r="769" spans="1:11" ht="12.75">
      <c r="A769" s="372"/>
      <c r="B769" s="372"/>
      <c r="C769" s="115"/>
      <c r="D769" s="115"/>
      <c r="E769" s="115"/>
      <c r="F769" s="60"/>
      <c r="G769" s="373"/>
      <c r="H769" s="60"/>
      <c r="I769" s="60"/>
      <c r="J769" s="60"/>
      <c r="K769" s="115"/>
    </row>
    <row r="770" spans="1:11" ht="12.75">
      <c r="A770" s="372"/>
      <c r="B770" s="372"/>
      <c r="C770" s="115"/>
      <c r="D770" s="115"/>
      <c r="E770" s="115"/>
      <c r="F770" s="60"/>
      <c r="G770" s="373"/>
      <c r="H770" s="60"/>
      <c r="I770" s="60"/>
      <c r="J770" s="60"/>
      <c r="K770" s="115"/>
    </row>
    <row r="771" spans="1:11" ht="12.75">
      <c r="A771" s="372"/>
      <c r="B771" s="372"/>
      <c r="C771" s="115"/>
      <c r="D771" s="115"/>
      <c r="E771" s="115"/>
      <c r="F771" s="60"/>
      <c r="G771" s="373"/>
      <c r="H771" s="60"/>
      <c r="I771" s="60"/>
      <c r="J771" s="60"/>
      <c r="K771" s="115"/>
    </row>
    <row r="772" spans="1:11" ht="12.75">
      <c r="A772" s="372"/>
      <c r="B772" s="372"/>
      <c r="C772" s="115"/>
      <c r="D772" s="115"/>
      <c r="E772" s="115"/>
      <c r="F772" s="60"/>
      <c r="G772" s="373"/>
      <c r="H772" s="60"/>
      <c r="I772" s="60"/>
      <c r="J772" s="60"/>
      <c r="K772" s="115"/>
    </row>
    <row r="773" spans="1:11" ht="12.75">
      <c r="A773" s="372"/>
      <c r="B773" s="372"/>
      <c r="C773" s="115"/>
      <c r="D773" s="115"/>
      <c r="E773" s="115"/>
      <c r="F773" s="60"/>
      <c r="G773" s="373"/>
      <c r="H773" s="60"/>
      <c r="I773" s="60"/>
      <c r="J773" s="60"/>
      <c r="K773" s="115"/>
    </row>
    <row r="774" spans="1:11" ht="12.75">
      <c r="A774" s="372"/>
      <c r="B774" s="372"/>
      <c r="C774" s="115"/>
      <c r="D774" s="115"/>
      <c r="E774" s="115"/>
      <c r="F774" s="60"/>
      <c r="G774" s="373"/>
      <c r="H774" s="60"/>
      <c r="I774" s="60"/>
      <c r="J774" s="60"/>
      <c r="K774" s="115"/>
    </row>
    <row r="775" spans="1:11" ht="12.75">
      <c r="A775" s="372"/>
      <c r="B775" s="372"/>
      <c r="C775" s="115"/>
      <c r="D775" s="115"/>
      <c r="E775" s="115"/>
      <c r="F775" s="60"/>
      <c r="G775" s="373"/>
      <c r="H775" s="60"/>
      <c r="I775" s="60"/>
      <c r="J775" s="60"/>
      <c r="K775" s="115"/>
    </row>
    <row r="776" spans="1:11" ht="12.75">
      <c r="A776" s="372"/>
      <c r="B776" s="372"/>
      <c r="C776" s="115"/>
      <c r="D776" s="115"/>
      <c r="E776" s="115"/>
      <c r="F776" s="60"/>
      <c r="G776" s="373"/>
      <c r="H776" s="60"/>
      <c r="I776" s="60"/>
      <c r="J776" s="60"/>
      <c r="K776" s="115"/>
    </row>
    <row r="777" spans="1:11" ht="12.75">
      <c r="A777" s="372"/>
      <c r="B777" s="372"/>
      <c r="C777" s="115"/>
      <c r="D777" s="115"/>
      <c r="E777" s="115"/>
      <c r="F777" s="60"/>
      <c r="G777" s="373"/>
      <c r="H777" s="60"/>
      <c r="I777" s="60"/>
      <c r="J777" s="60"/>
      <c r="K777" s="115"/>
    </row>
    <row r="778" spans="1:11" ht="12.75">
      <c r="A778" s="372"/>
      <c r="B778" s="372"/>
      <c r="C778" s="115"/>
      <c r="D778" s="115"/>
      <c r="E778" s="115"/>
      <c r="F778" s="60"/>
      <c r="G778" s="373"/>
      <c r="H778" s="60"/>
      <c r="I778" s="60"/>
      <c r="J778" s="60"/>
      <c r="K778" s="115"/>
    </row>
    <row r="779" spans="1:11" ht="12.75">
      <c r="A779" s="372"/>
      <c r="B779" s="372"/>
      <c r="C779" s="115"/>
      <c r="D779" s="115"/>
      <c r="E779" s="115"/>
      <c r="F779" s="60"/>
      <c r="G779" s="373"/>
      <c r="H779" s="60"/>
      <c r="I779" s="60"/>
      <c r="J779" s="60"/>
      <c r="K779" s="115"/>
    </row>
    <row r="780" spans="1:11" ht="12.75">
      <c r="A780" s="372"/>
      <c r="B780" s="372"/>
      <c r="C780" s="115"/>
      <c r="D780" s="115"/>
      <c r="E780" s="115"/>
      <c r="F780" s="60"/>
      <c r="G780" s="373"/>
      <c r="H780" s="60"/>
      <c r="I780" s="60"/>
      <c r="J780" s="60"/>
      <c r="K780" s="115"/>
    </row>
    <row r="781" spans="1:11" ht="12.75">
      <c r="A781" s="372"/>
      <c r="B781" s="372"/>
      <c r="C781" s="115"/>
      <c r="D781" s="115"/>
      <c r="E781" s="115"/>
      <c r="F781" s="60"/>
      <c r="G781" s="373"/>
      <c r="H781" s="60"/>
      <c r="I781" s="60"/>
      <c r="J781" s="60"/>
      <c r="K781" s="115"/>
    </row>
    <row r="782" spans="1:11" ht="12.75">
      <c r="A782" s="372"/>
      <c r="B782" s="372"/>
      <c r="C782" s="115"/>
      <c r="D782" s="115"/>
      <c r="E782" s="115"/>
      <c r="F782" s="60"/>
      <c r="G782" s="373"/>
      <c r="H782" s="60"/>
      <c r="I782" s="60"/>
      <c r="J782" s="60"/>
      <c r="K782" s="115"/>
    </row>
    <row r="783" spans="1:11" ht="12.75">
      <c r="A783" s="372"/>
      <c r="B783" s="372"/>
      <c r="C783" s="115"/>
      <c r="D783" s="115"/>
      <c r="E783" s="115"/>
      <c r="F783" s="60"/>
      <c r="G783" s="373"/>
      <c r="H783" s="60"/>
      <c r="I783" s="60"/>
      <c r="J783" s="60"/>
      <c r="K783" s="115"/>
    </row>
    <row r="784" spans="1:11" ht="12.75">
      <c r="A784" s="372"/>
      <c r="B784" s="372"/>
      <c r="C784" s="115"/>
      <c r="D784" s="115"/>
      <c r="E784" s="115"/>
      <c r="F784" s="60"/>
      <c r="G784" s="373"/>
      <c r="H784" s="60"/>
      <c r="I784" s="60"/>
      <c r="J784" s="60"/>
      <c r="K784" s="115"/>
    </row>
    <row r="785" spans="1:11" ht="12.75">
      <c r="A785" s="372"/>
      <c r="B785" s="372"/>
      <c r="C785" s="115"/>
      <c r="D785" s="115"/>
      <c r="E785" s="115"/>
      <c r="F785" s="60"/>
      <c r="G785" s="373"/>
      <c r="H785" s="60"/>
      <c r="I785" s="60"/>
      <c r="J785" s="60"/>
      <c r="K785" s="115"/>
    </row>
    <row r="786" spans="1:11" ht="12.75">
      <c r="A786" s="372"/>
      <c r="B786" s="372"/>
      <c r="C786" s="115"/>
      <c r="D786" s="115"/>
      <c r="E786" s="115"/>
      <c r="F786" s="60"/>
      <c r="G786" s="373"/>
      <c r="H786" s="60"/>
      <c r="I786" s="60"/>
      <c r="J786" s="60"/>
      <c r="K786" s="115"/>
    </row>
    <row r="787" spans="1:11" ht="12.75">
      <c r="A787" s="372"/>
      <c r="B787" s="372"/>
      <c r="C787" s="115"/>
      <c r="D787" s="115"/>
      <c r="E787" s="115"/>
      <c r="F787" s="60"/>
      <c r="G787" s="373"/>
      <c r="H787" s="60"/>
      <c r="I787" s="60"/>
      <c r="J787" s="60"/>
      <c r="K787" s="115"/>
    </row>
    <row r="788" spans="1:11" ht="12.75">
      <c r="A788" s="372"/>
      <c r="B788" s="372"/>
      <c r="C788" s="115"/>
      <c r="D788" s="115"/>
      <c r="E788" s="115"/>
      <c r="F788" s="60"/>
      <c r="G788" s="373"/>
      <c r="H788" s="60"/>
      <c r="I788" s="60"/>
      <c r="J788" s="60"/>
      <c r="K788" s="115"/>
    </row>
    <row r="789" spans="1:11" ht="12.75">
      <c r="A789" s="372"/>
      <c r="B789" s="372"/>
      <c r="C789" s="115"/>
      <c r="D789" s="115"/>
      <c r="E789" s="115"/>
      <c r="F789" s="60"/>
      <c r="G789" s="373"/>
      <c r="H789" s="60"/>
      <c r="I789" s="60"/>
      <c r="J789" s="60"/>
      <c r="K789" s="115"/>
    </row>
    <row r="790" spans="1:11" ht="12.75">
      <c r="A790" s="372"/>
      <c r="B790" s="372"/>
      <c r="C790" s="115"/>
      <c r="D790" s="115"/>
      <c r="E790" s="115"/>
      <c r="F790" s="60"/>
      <c r="G790" s="373"/>
      <c r="H790" s="60"/>
      <c r="I790" s="60"/>
      <c r="J790" s="60"/>
      <c r="K790" s="115"/>
    </row>
    <row r="791" spans="1:11" ht="12.75">
      <c r="A791" s="372"/>
      <c r="B791" s="372"/>
      <c r="C791" s="115"/>
      <c r="D791" s="115"/>
      <c r="E791" s="115"/>
      <c r="F791" s="60"/>
      <c r="G791" s="373"/>
      <c r="H791" s="60"/>
      <c r="I791" s="60"/>
      <c r="J791" s="60"/>
      <c r="K791" s="115"/>
    </row>
    <row r="792" spans="1:11" ht="12.75">
      <c r="A792" s="372"/>
      <c r="B792" s="372"/>
      <c r="C792" s="115"/>
      <c r="D792" s="115"/>
      <c r="E792" s="115"/>
      <c r="F792" s="60"/>
      <c r="G792" s="373"/>
      <c r="H792" s="60"/>
      <c r="I792" s="60"/>
      <c r="J792" s="60"/>
      <c r="K792" s="115"/>
    </row>
    <row r="793" spans="1:11" ht="12.75">
      <c r="A793" s="372"/>
      <c r="B793" s="372"/>
      <c r="C793" s="115"/>
      <c r="D793" s="115"/>
      <c r="E793" s="115"/>
      <c r="F793" s="60"/>
      <c r="G793" s="373"/>
      <c r="H793" s="60"/>
      <c r="I793" s="60"/>
      <c r="J793" s="60"/>
      <c r="K793" s="115"/>
    </row>
    <row r="794" spans="1:11" ht="12.75">
      <c r="A794" s="372"/>
      <c r="B794" s="372"/>
      <c r="C794" s="115"/>
      <c r="D794" s="115"/>
      <c r="E794" s="115"/>
      <c r="F794" s="60"/>
      <c r="G794" s="373"/>
      <c r="H794" s="60"/>
      <c r="I794" s="60"/>
      <c r="J794" s="60"/>
      <c r="K794" s="115"/>
    </row>
    <row r="795" spans="1:11" ht="12.75">
      <c r="A795" s="372"/>
      <c r="B795" s="372"/>
      <c r="C795" s="115"/>
      <c r="D795" s="115"/>
      <c r="E795" s="115"/>
      <c r="F795" s="60"/>
      <c r="G795" s="373"/>
      <c r="H795" s="60"/>
      <c r="I795" s="60"/>
      <c r="J795" s="60"/>
      <c r="K795" s="115"/>
    </row>
    <row r="796" spans="1:11" ht="12.75">
      <c r="A796" s="372"/>
      <c r="B796" s="372"/>
      <c r="C796" s="115"/>
      <c r="D796" s="115"/>
      <c r="E796" s="115"/>
      <c r="F796" s="60"/>
      <c r="G796" s="373"/>
      <c r="H796" s="60"/>
      <c r="I796" s="60"/>
      <c r="J796" s="60"/>
      <c r="K796" s="115"/>
    </row>
    <row r="797" spans="1:11" ht="12.75">
      <c r="A797" s="372"/>
      <c r="B797" s="372"/>
      <c r="C797" s="115"/>
      <c r="D797" s="115"/>
      <c r="E797" s="115"/>
      <c r="F797" s="60"/>
      <c r="G797" s="373"/>
      <c r="H797" s="60"/>
      <c r="I797" s="60"/>
      <c r="J797" s="60"/>
      <c r="K797" s="115"/>
    </row>
    <row r="798" spans="1:11" ht="12.75">
      <c r="A798" s="372"/>
      <c r="B798" s="372"/>
      <c r="C798" s="115"/>
      <c r="D798" s="115"/>
      <c r="E798" s="115"/>
      <c r="F798" s="60"/>
      <c r="G798" s="373"/>
      <c r="H798" s="60"/>
      <c r="I798" s="60"/>
      <c r="J798" s="60"/>
      <c r="K798" s="115"/>
    </row>
    <row r="799" spans="1:11" ht="12.75">
      <c r="A799" s="372"/>
      <c r="B799" s="372"/>
      <c r="C799" s="115"/>
      <c r="D799" s="115"/>
      <c r="E799" s="115"/>
      <c r="F799" s="60"/>
      <c r="G799" s="373"/>
      <c r="H799" s="60"/>
      <c r="I799" s="60"/>
      <c r="J799" s="60"/>
      <c r="K799" s="115"/>
    </row>
    <row r="800" spans="1:11" ht="12.75">
      <c r="A800" s="372"/>
      <c r="B800" s="372"/>
      <c r="C800" s="115"/>
      <c r="D800" s="115"/>
      <c r="E800" s="115"/>
      <c r="F800" s="60"/>
      <c r="G800" s="373"/>
      <c r="H800" s="60"/>
      <c r="I800" s="60"/>
      <c r="J800" s="60"/>
      <c r="K800" s="115"/>
    </row>
    <row r="801" spans="1:11" ht="12.75">
      <c r="A801" s="372"/>
      <c r="B801" s="372"/>
      <c r="C801" s="115"/>
      <c r="D801" s="115"/>
      <c r="E801" s="115"/>
      <c r="F801" s="60"/>
      <c r="G801" s="373"/>
      <c r="H801" s="60"/>
      <c r="I801" s="60"/>
      <c r="J801" s="60"/>
      <c r="K801" s="115"/>
    </row>
    <row r="802" spans="1:11" ht="12.75">
      <c r="A802" s="372"/>
      <c r="B802" s="372"/>
      <c r="C802" s="115"/>
      <c r="D802" s="115"/>
      <c r="E802" s="115"/>
      <c r="F802" s="60"/>
      <c r="G802" s="373"/>
      <c r="H802" s="60"/>
      <c r="I802" s="60"/>
      <c r="J802" s="60"/>
      <c r="K802" s="115"/>
    </row>
    <row r="803" spans="1:11" ht="12.75">
      <c r="A803" s="372"/>
      <c r="B803" s="372"/>
      <c r="C803" s="115"/>
      <c r="D803" s="115"/>
      <c r="E803" s="115"/>
      <c r="F803" s="60"/>
      <c r="G803" s="373"/>
      <c r="H803" s="60"/>
      <c r="I803" s="60"/>
      <c r="J803" s="60"/>
      <c r="K803" s="115"/>
    </row>
    <row r="804" spans="1:11" ht="12.75">
      <c r="A804" s="372"/>
      <c r="B804" s="372"/>
      <c r="C804" s="115"/>
      <c r="D804" s="115"/>
      <c r="E804" s="115"/>
      <c r="F804" s="60"/>
      <c r="G804" s="373"/>
      <c r="H804" s="60"/>
      <c r="I804" s="60"/>
      <c r="J804" s="60"/>
      <c r="K804" s="115"/>
    </row>
    <row r="805" spans="1:11" ht="12.75">
      <c r="A805" s="372"/>
      <c r="B805" s="372"/>
      <c r="C805" s="115"/>
      <c r="D805" s="115"/>
      <c r="E805" s="115"/>
      <c r="F805" s="60"/>
      <c r="G805" s="373"/>
      <c r="H805" s="60"/>
      <c r="I805" s="60"/>
      <c r="J805" s="60"/>
      <c r="K805" s="115"/>
    </row>
    <row r="806" spans="1:11" ht="12.75">
      <c r="A806" s="372"/>
      <c r="B806" s="372"/>
      <c r="C806" s="115"/>
      <c r="D806" s="115"/>
      <c r="E806" s="115"/>
      <c r="F806" s="60"/>
      <c r="G806" s="373"/>
      <c r="H806" s="60"/>
      <c r="I806" s="60"/>
      <c r="J806" s="60"/>
      <c r="K806" s="115"/>
    </row>
    <row r="807" spans="1:11" ht="12.75">
      <c r="A807" s="372"/>
      <c r="B807" s="372"/>
      <c r="C807" s="115"/>
      <c r="D807" s="115"/>
      <c r="E807" s="115"/>
      <c r="F807" s="60"/>
      <c r="G807" s="373"/>
      <c r="H807" s="60"/>
      <c r="I807" s="60"/>
      <c r="J807" s="60"/>
      <c r="K807" s="115"/>
    </row>
    <row r="808" spans="1:11" ht="12.75">
      <c r="A808" s="372"/>
      <c r="B808" s="372"/>
      <c r="C808" s="115"/>
      <c r="D808" s="115"/>
      <c r="E808" s="115"/>
      <c r="F808" s="60"/>
      <c r="G808" s="373"/>
      <c r="H808" s="60"/>
      <c r="I808" s="60"/>
      <c r="J808" s="60"/>
      <c r="K808" s="115"/>
    </row>
    <row r="809" spans="1:11" ht="12.75">
      <c r="A809" s="372"/>
      <c r="B809" s="372"/>
      <c r="C809" s="115"/>
      <c r="D809" s="115"/>
      <c r="E809" s="115"/>
      <c r="F809" s="60"/>
      <c r="G809" s="373"/>
      <c r="H809" s="60"/>
      <c r="I809" s="60"/>
      <c r="J809" s="60"/>
      <c r="K809" s="115"/>
    </row>
    <row r="810" spans="1:11" ht="12.75">
      <c r="A810" s="372"/>
      <c r="B810" s="372"/>
      <c r="C810" s="115"/>
      <c r="D810" s="115"/>
      <c r="E810" s="115"/>
      <c r="F810" s="60"/>
      <c r="G810" s="373"/>
      <c r="H810" s="60"/>
      <c r="I810" s="60"/>
      <c r="J810" s="60"/>
      <c r="K810" s="115"/>
    </row>
    <row r="811" spans="1:11" ht="12.75">
      <c r="A811" s="372"/>
      <c r="B811" s="372"/>
      <c r="C811" s="115"/>
      <c r="D811" s="115"/>
      <c r="E811" s="115"/>
      <c r="F811" s="60"/>
      <c r="G811" s="373"/>
      <c r="H811" s="60"/>
      <c r="I811" s="60"/>
      <c r="J811" s="60"/>
      <c r="K811" s="115"/>
    </row>
    <row r="812" spans="1:11" ht="12.75">
      <c r="A812" s="372"/>
      <c r="B812" s="372"/>
      <c r="C812" s="115"/>
      <c r="D812" s="115"/>
      <c r="E812" s="115"/>
      <c r="F812" s="60"/>
      <c r="G812" s="373"/>
      <c r="H812" s="60"/>
      <c r="I812" s="60"/>
      <c r="J812" s="60"/>
      <c r="K812" s="115"/>
    </row>
    <row r="813" spans="1:11" ht="12.75">
      <c r="A813" s="372"/>
      <c r="B813" s="372"/>
      <c r="C813" s="115"/>
      <c r="D813" s="115"/>
      <c r="E813" s="115"/>
      <c r="F813" s="60"/>
      <c r="G813" s="373"/>
      <c r="H813" s="60"/>
      <c r="I813" s="60"/>
      <c r="J813" s="60"/>
      <c r="K813" s="115"/>
    </row>
    <row r="814" spans="1:11" ht="12.75">
      <c r="A814" s="372"/>
      <c r="B814" s="372"/>
      <c r="C814" s="115"/>
      <c r="D814" s="115"/>
      <c r="E814" s="115"/>
      <c r="F814" s="60"/>
      <c r="G814" s="373"/>
      <c r="H814" s="60"/>
      <c r="I814" s="60"/>
      <c r="J814" s="60"/>
      <c r="K814" s="115"/>
    </row>
    <row r="815" spans="1:11" ht="12.75">
      <c r="A815" s="372"/>
      <c r="B815" s="372"/>
      <c r="C815" s="115"/>
      <c r="D815" s="115"/>
      <c r="E815" s="115"/>
      <c r="F815" s="60"/>
      <c r="G815" s="373"/>
      <c r="H815" s="60"/>
      <c r="I815" s="60"/>
      <c r="J815" s="60"/>
      <c r="K815" s="115"/>
    </row>
    <row r="816" spans="1:11" ht="12.75">
      <c r="A816" s="372"/>
      <c r="B816" s="372"/>
      <c r="C816" s="115"/>
      <c r="D816" s="115"/>
      <c r="E816" s="115"/>
      <c r="F816" s="60"/>
      <c r="G816" s="373"/>
      <c r="H816" s="60"/>
      <c r="I816" s="60"/>
      <c r="J816" s="60"/>
      <c r="K816" s="115"/>
    </row>
    <row r="817" spans="1:11" ht="12.75">
      <c r="A817" s="372"/>
      <c r="B817" s="372"/>
      <c r="C817" s="115"/>
      <c r="D817" s="115"/>
      <c r="E817" s="115"/>
      <c r="F817" s="60"/>
      <c r="G817" s="373"/>
      <c r="H817" s="60"/>
      <c r="I817" s="60"/>
      <c r="J817" s="60"/>
      <c r="K817" s="115"/>
    </row>
    <row r="818" spans="1:11" ht="12.75">
      <c r="A818" s="372"/>
      <c r="B818" s="372"/>
      <c r="C818" s="115"/>
      <c r="D818" s="115"/>
      <c r="E818" s="115"/>
      <c r="F818" s="60"/>
      <c r="G818" s="373"/>
      <c r="H818" s="60"/>
      <c r="I818" s="60"/>
      <c r="J818" s="60"/>
      <c r="K818" s="115"/>
    </row>
    <row r="819" spans="1:11" ht="12.75">
      <c r="A819" s="372"/>
      <c r="B819" s="372"/>
      <c r="C819" s="115"/>
      <c r="D819" s="115"/>
      <c r="E819" s="115"/>
      <c r="F819" s="60"/>
      <c r="G819" s="373"/>
      <c r="H819" s="60"/>
      <c r="I819" s="60"/>
      <c r="J819" s="60"/>
      <c r="K819" s="115"/>
    </row>
    <row r="820" spans="1:11" ht="12.75">
      <c r="A820" s="372"/>
      <c r="B820" s="372"/>
      <c r="C820" s="115"/>
      <c r="D820" s="115"/>
      <c r="E820" s="115"/>
      <c r="F820" s="60"/>
      <c r="G820" s="373"/>
      <c r="H820" s="60"/>
      <c r="I820" s="60"/>
      <c r="J820" s="60"/>
      <c r="K820" s="115"/>
    </row>
    <row r="821" spans="1:11" ht="12.75">
      <c r="A821" s="372"/>
      <c r="B821" s="372"/>
      <c r="C821" s="115"/>
      <c r="D821" s="115"/>
      <c r="E821" s="115"/>
      <c r="F821" s="60"/>
      <c r="G821" s="373"/>
      <c r="H821" s="60"/>
      <c r="I821" s="60"/>
      <c r="J821" s="60"/>
      <c r="K821" s="115"/>
    </row>
    <row r="822" spans="1:11" ht="12.75">
      <c r="A822" s="372"/>
      <c r="B822" s="372"/>
      <c r="C822" s="115"/>
      <c r="D822" s="115"/>
      <c r="E822" s="115"/>
      <c r="F822" s="60"/>
      <c r="G822" s="373"/>
      <c r="H822" s="60"/>
      <c r="I822" s="60"/>
      <c r="J822" s="60"/>
      <c r="K822" s="115"/>
    </row>
    <row r="823" spans="1:11" ht="12.75">
      <c r="A823" s="372"/>
      <c r="B823" s="372"/>
      <c r="C823" s="115"/>
      <c r="D823" s="115"/>
      <c r="E823" s="115"/>
      <c r="F823" s="60"/>
      <c r="G823" s="373"/>
      <c r="H823" s="60"/>
      <c r="I823" s="60"/>
      <c r="J823" s="60"/>
      <c r="K823" s="115"/>
    </row>
    <row r="824" spans="1:11" ht="12.75">
      <c r="A824" s="372"/>
      <c r="B824" s="372"/>
      <c r="C824" s="115"/>
      <c r="D824" s="115"/>
      <c r="E824" s="115"/>
      <c r="F824" s="60"/>
      <c r="G824" s="373"/>
      <c r="H824" s="60"/>
      <c r="I824" s="60"/>
      <c r="J824" s="60"/>
      <c r="K824" s="115"/>
    </row>
    <row r="825" spans="1:11" ht="12.75">
      <c r="A825" s="372"/>
      <c r="B825" s="372"/>
      <c r="C825" s="115"/>
      <c r="D825" s="115"/>
      <c r="E825" s="115"/>
      <c r="F825" s="60"/>
      <c r="G825" s="373"/>
      <c r="H825" s="60"/>
      <c r="I825" s="60"/>
      <c r="J825" s="60"/>
      <c r="K825" s="115"/>
    </row>
    <row r="826" spans="1:11" ht="12.75">
      <c r="A826" s="372"/>
      <c r="B826" s="372"/>
      <c r="C826" s="115"/>
      <c r="D826" s="115"/>
      <c r="E826" s="115"/>
      <c r="F826" s="60"/>
      <c r="G826" s="373"/>
      <c r="H826" s="60"/>
      <c r="I826" s="60"/>
      <c r="J826" s="60"/>
      <c r="K826" s="115"/>
    </row>
    <row r="827" spans="1:11" ht="12.75">
      <c r="A827" s="372"/>
      <c r="B827" s="372"/>
      <c r="C827" s="115"/>
      <c r="D827" s="115"/>
      <c r="E827" s="115"/>
      <c r="F827" s="60"/>
      <c r="G827" s="373"/>
      <c r="H827" s="60"/>
      <c r="I827" s="60"/>
      <c r="J827" s="60"/>
      <c r="K827" s="115"/>
    </row>
    <row r="828" spans="1:11" ht="12.75">
      <c r="A828" s="372"/>
      <c r="B828" s="372"/>
      <c r="C828" s="115"/>
      <c r="D828" s="115"/>
      <c r="E828" s="115"/>
      <c r="F828" s="60"/>
      <c r="G828" s="373"/>
      <c r="H828" s="60"/>
      <c r="I828" s="60"/>
      <c r="J828" s="60"/>
      <c r="K828" s="115"/>
    </row>
    <row r="829" spans="1:11" ht="12.75">
      <c r="A829" s="372"/>
      <c r="B829" s="372"/>
      <c r="C829" s="115"/>
      <c r="D829" s="115"/>
      <c r="E829" s="115"/>
      <c r="F829" s="60"/>
      <c r="G829" s="373"/>
      <c r="H829" s="60"/>
      <c r="I829" s="60"/>
      <c r="J829" s="60"/>
      <c r="K829" s="115"/>
    </row>
    <row r="830" spans="1:11" ht="12.75">
      <c r="A830" s="372"/>
      <c r="B830" s="372"/>
      <c r="C830" s="115"/>
      <c r="D830" s="115"/>
      <c r="E830" s="115"/>
      <c r="F830" s="60"/>
      <c r="G830" s="373"/>
      <c r="H830" s="60"/>
      <c r="I830" s="60"/>
      <c r="J830" s="60"/>
      <c r="K830" s="115"/>
    </row>
    <row r="831" spans="1:11" ht="12.75">
      <c r="A831" s="372"/>
      <c r="B831" s="372"/>
      <c r="C831" s="115"/>
      <c r="D831" s="115"/>
      <c r="E831" s="115"/>
      <c r="F831" s="60"/>
      <c r="G831" s="373"/>
      <c r="H831" s="60"/>
      <c r="I831" s="60"/>
      <c r="J831" s="60"/>
      <c r="K831" s="115"/>
    </row>
    <row r="832" spans="1:11" ht="12.75">
      <c r="A832" s="372"/>
      <c r="B832" s="372"/>
      <c r="C832" s="115"/>
      <c r="D832" s="115"/>
      <c r="E832" s="115"/>
      <c r="F832" s="60"/>
      <c r="G832" s="373"/>
      <c r="H832" s="60"/>
      <c r="I832" s="60"/>
      <c r="J832" s="60"/>
      <c r="K832" s="115"/>
    </row>
    <row r="833" spans="1:11" ht="12.75">
      <c r="A833" s="372"/>
      <c r="B833" s="372"/>
      <c r="C833" s="115"/>
      <c r="D833" s="115"/>
      <c r="E833" s="115"/>
      <c r="F833" s="60"/>
      <c r="G833" s="373"/>
      <c r="H833" s="60"/>
      <c r="I833" s="60"/>
      <c r="J833" s="60"/>
      <c r="K833" s="115"/>
    </row>
    <row r="834" spans="1:11" ht="12.75">
      <c r="A834" s="372"/>
      <c r="B834" s="372"/>
      <c r="C834" s="115"/>
      <c r="D834" s="115"/>
      <c r="E834" s="115"/>
      <c r="F834" s="60"/>
      <c r="G834" s="373"/>
      <c r="H834" s="60"/>
      <c r="I834" s="60"/>
      <c r="J834" s="60"/>
      <c r="K834" s="115"/>
    </row>
    <row r="835" spans="1:11" ht="12.75">
      <c r="A835" s="372"/>
      <c r="B835" s="372"/>
      <c r="C835" s="115"/>
      <c r="D835" s="115"/>
      <c r="E835" s="115"/>
      <c r="F835" s="60"/>
      <c r="G835" s="373"/>
      <c r="H835" s="60"/>
      <c r="I835" s="60"/>
      <c r="J835" s="60"/>
      <c r="K835" s="115"/>
    </row>
    <row r="836" spans="1:11" ht="12.75">
      <c r="A836" s="372"/>
      <c r="B836" s="372"/>
      <c r="C836" s="115"/>
      <c r="D836" s="115"/>
      <c r="E836" s="115"/>
      <c r="F836" s="60"/>
      <c r="G836" s="373"/>
      <c r="H836" s="60"/>
      <c r="I836" s="60"/>
      <c r="J836" s="60"/>
      <c r="K836" s="115"/>
    </row>
    <row r="837" spans="1:11" ht="12.75">
      <c r="A837" s="372"/>
      <c r="B837" s="372"/>
      <c r="C837" s="115"/>
      <c r="D837" s="115"/>
      <c r="E837" s="115"/>
      <c r="F837" s="60"/>
      <c r="G837" s="373"/>
      <c r="H837" s="60"/>
      <c r="I837" s="60"/>
      <c r="J837" s="60"/>
      <c r="K837" s="115"/>
    </row>
    <row r="838" spans="1:11" ht="12.75">
      <c r="A838" s="372"/>
      <c r="B838" s="372"/>
      <c r="C838" s="115"/>
      <c r="D838" s="115"/>
      <c r="E838" s="115"/>
      <c r="F838" s="60"/>
      <c r="G838" s="373"/>
      <c r="H838" s="60"/>
      <c r="I838" s="60"/>
      <c r="J838" s="60"/>
      <c r="K838" s="115"/>
    </row>
    <row r="839" spans="1:11" ht="12.75">
      <c r="A839" s="372"/>
      <c r="B839" s="372"/>
      <c r="C839" s="115"/>
      <c r="D839" s="115"/>
      <c r="E839" s="115"/>
      <c r="F839" s="60"/>
      <c r="G839" s="373"/>
      <c r="H839" s="60"/>
      <c r="I839" s="60"/>
      <c r="J839" s="60"/>
      <c r="K839" s="115"/>
    </row>
    <row r="840" spans="1:11" ht="12.75">
      <c r="A840" s="372"/>
      <c r="B840" s="372"/>
      <c r="C840" s="115"/>
      <c r="D840" s="115"/>
      <c r="E840" s="115"/>
      <c r="F840" s="60"/>
      <c r="G840" s="373"/>
      <c r="H840" s="60"/>
      <c r="I840" s="60"/>
      <c r="J840" s="60"/>
      <c r="K840" s="115"/>
    </row>
    <row r="841" spans="1:11" ht="12.75">
      <c r="A841" s="372"/>
      <c r="B841" s="372"/>
      <c r="C841" s="115"/>
      <c r="D841" s="115"/>
      <c r="E841" s="115"/>
      <c r="F841" s="60"/>
      <c r="G841" s="373"/>
      <c r="H841" s="60"/>
      <c r="I841" s="60"/>
      <c r="J841" s="60"/>
      <c r="K841" s="115"/>
    </row>
    <row r="842" spans="1:11" ht="12.75">
      <c r="A842" s="372"/>
      <c r="B842" s="372"/>
      <c r="C842" s="115"/>
      <c r="D842" s="115"/>
      <c r="E842" s="115"/>
      <c r="F842" s="60"/>
      <c r="G842" s="373"/>
      <c r="H842" s="60"/>
      <c r="I842" s="60"/>
      <c r="J842" s="60"/>
      <c r="K842" s="115"/>
    </row>
    <row r="843" spans="1:11" ht="12.75">
      <c r="A843" s="372"/>
      <c r="B843" s="372"/>
      <c r="C843" s="115"/>
      <c r="D843" s="115"/>
      <c r="E843" s="115"/>
      <c r="F843" s="60"/>
      <c r="G843" s="373"/>
      <c r="H843" s="60"/>
      <c r="I843" s="60"/>
      <c r="J843" s="60"/>
      <c r="K843" s="115"/>
    </row>
    <row r="844" spans="1:11" ht="12.75">
      <c r="A844" s="372"/>
      <c r="B844" s="372"/>
      <c r="C844" s="115"/>
      <c r="D844" s="115"/>
      <c r="E844" s="115"/>
      <c r="F844" s="60"/>
      <c r="G844" s="373"/>
      <c r="H844" s="60"/>
      <c r="I844" s="60"/>
      <c r="J844" s="60"/>
      <c r="K844" s="115"/>
    </row>
    <row r="845" spans="1:11" ht="12.75">
      <c r="A845" s="372"/>
      <c r="B845" s="372"/>
      <c r="C845" s="115"/>
      <c r="D845" s="115"/>
      <c r="E845" s="115"/>
      <c r="F845" s="60"/>
      <c r="G845" s="373"/>
      <c r="H845" s="60"/>
      <c r="I845" s="60"/>
      <c r="J845" s="60"/>
      <c r="K845" s="115"/>
    </row>
    <row r="846" spans="1:11" ht="12.75">
      <c r="A846" s="372"/>
      <c r="B846" s="372"/>
      <c r="C846" s="115"/>
      <c r="D846" s="115"/>
      <c r="E846" s="115"/>
      <c r="F846" s="60"/>
      <c r="G846" s="373"/>
      <c r="H846" s="60"/>
      <c r="I846" s="60"/>
      <c r="J846" s="60"/>
      <c r="K846" s="115"/>
    </row>
    <row r="847" spans="1:11" ht="12.75">
      <c r="A847" s="372"/>
      <c r="B847" s="372"/>
      <c r="C847" s="115"/>
      <c r="D847" s="115"/>
      <c r="E847" s="115"/>
      <c r="F847" s="60"/>
      <c r="G847" s="373"/>
      <c r="H847" s="60"/>
      <c r="I847" s="60"/>
      <c r="J847" s="60"/>
      <c r="K847" s="115"/>
    </row>
    <row r="848" spans="1:11" ht="12.75">
      <c r="A848" s="372"/>
      <c r="B848" s="372"/>
      <c r="C848" s="115"/>
      <c r="D848" s="115"/>
      <c r="E848" s="115"/>
      <c r="F848" s="60"/>
      <c r="G848" s="373"/>
      <c r="H848" s="60"/>
      <c r="I848" s="60"/>
      <c r="J848" s="60"/>
      <c r="K848" s="115"/>
    </row>
    <row r="849" spans="1:11" ht="12.75">
      <c r="A849" s="372"/>
      <c r="B849" s="372"/>
      <c r="C849" s="115"/>
      <c r="D849" s="115"/>
      <c r="E849" s="115"/>
      <c r="F849" s="60"/>
      <c r="G849" s="373"/>
      <c r="H849" s="60"/>
      <c r="I849" s="60"/>
      <c r="J849" s="60"/>
      <c r="K849" s="115"/>
    </row>
    <row r="850" spans="1:11" ht="12.75">
      <c r="A850" s="372"/>
      <c r="B850" s="372"/>
      <c r="C850" s="115"/>
      <c r="D850" s="115"/>
      <c r="E850" s="115"/>
      <c r="F850" s="60"/>
      <c r="G850" s="373"/>
      <c r="H850" s="60"/>
      <c r="I850" s="60"/>
      <c r="J850" s="60"/>
      <c r="K850" s="115"/>
    </row>
    <row r="851" spans="1:11" ht="12.75">
      <c r="A851" s="372"/>
      <c r="B851" s="372"/>
      <c r="C851" s="115"/>
      <c r="D851" s="115"/>
      <c r="E851" s="115"/>
      <c r="F851" s="60"/>
      <c r="G851" s="373"/>
      <c r="H851" s="60"/>
      <c r="I851" s="60"/>
      <c r="J851" s="60"/>
      <c r="K851" s="115"/>
    </row>
    <row r="852" spans="1:11" ht="12.75">
      <c r="A852" s="372"/>
      <c r="B852" s="372"/>
      <c r="C852" s="115"/>
      <c r="D852" s="115"/>
      <c r="E852" s="115"/>
      <c r="F852" s="60"/>
      <c r="G852" s="373"/>
      <c r="H852" s="60"/>
      <c r="I852" s="60"/>
      <c r="J852" s="60"/>
      <c r="K852" s="115"/>
    </row>
    <row r="853" spans="1:11" ht="12.75">
      <c r="A853" s="372"/>
      <c r="B853" s="372"/>
      <c r="C853" s="115"/>
      <c r="D853" s="115"/>
      <c r="E853" s="115"/>
      <c r="F853" s="60"/>
      <c r="G853" s="373"/>
      <c r="H853" s="60"/>
      <c r="I853" s="60"/>
      <c r="J853" s="60"/>
      <c r="K853" s="115"/>
    </row>
    <row r="854" spans="1:11" ht="12.75">
      <c r="A854" s="372"/>
      <c r="B854" s="372"/>
      <c r="C854" s="115"/>
      <c r="D854" s="115"/>
      <c r="E854" s="115"/>
      <c r="F854" s="60"/>
      <c r="G854" s="373"/>
      <c r="H854" s="60"/>
      <c r="I854" s="60"/>
      <c r="J854" s="60"/>
      <c r="K854" s="115"/>
    </row>
    <row r="855" spans="1:11" ht="12.75">
      <c r="A855" s="372"/>
      <c r="B855" s="372"/>
      <c r="C855" s="115"/>
      <c r="D855" s="115"/>
      <c r="E855" s="115"/>
      <c r="F855" s="60"/>
      <c r="G855" s="373"/>
      <c r="H855" s="60"/>
      <c r="I855" s="60"/>
      <c r="J855" s="60"/>
      <c r="K855" s="115"/>
    </row>
    <row r="856" spans="1:11" ht="12.75">
      <c r="A856" s="372"/>
      <c r="B856" s="372"/>
      <c r="C856" s="115"/>
      <c r="D856" s="115"/>
      <c r="E856" s="115"/>
      <c r="F856" s="60"/>
      <c r="G856" s="373"/>
      <c r="H856" s="60"/>
      <c r="I856" s="60"/>
      <c r="J856" s="60"/>
      <c r="K856" s="115"/>
    </row>
    <row r="857" spans="1:11" ht="12.75">
      <c r="A857" s="372"/>
      <c r="B857" s="372"/>
      <c r="C857" s="115"/>
      <c r="D857" s="115"/>
      <c r="E857" s="115"/>
      <c r="F857" s="60"/>
      <c r="G857" s="373"/>
      <c r="H857" s="60"/>
      <c r="I857" s="60"/>
      <c r="J857" s="60"/>
      <c r="K857" s="115"/>
    </row>
    <row r="858" spans="1:11" ht="12.75">
      <c r="A858" s="372"/>
      <c r="B858" s="372"/>
      <c r="C858" s="115"/>
      <c r="D858" s="115"/>
      <c r="E858" s="115"/>
      <c r="F858" s="60"/>
      <c r="G858" s="373"/>
      <c r="H858" s="60"/>
      <c r="I858" s="60"/>
      <c r="J858" s="60"/>
      <c r="K858" s="115"/>
    </row>
    <row r="859" spans="1:11" ht="12.75">
      <c r="A859" s="372"/>
      <c r="B859" s="372"/>
      <c r="C859" s="115"/>
      <c r="D859" s="115"/>
      <c r="E859" s="115"/>
      <c r="F859" s="60"/>
      <c r="G859" s="373"/>
      <c r="H859" s="60"/>
      <c r="I859" s="60"/>
      <c r="J859" s="60"/>
      <c r="K859" s="115"/>
    </row>
    <row r="860" spans="1:11" ht="12.75">
      <c r="A860" s="372"/>
      <c r="B860" s="372"/>
      <c r="C860" s="115"/>
      <c r="D860" s="115"/>
      <c r="E860" s="115"/>
      <c r="F860" s="60"/>
      <c r="G860" s="373"/>
      <c r="H860" s="60"/>
      <c r="I860" s="60"/>
      <c r="J860" s="60"/>
      <c r="K860" s="115"/>
    </row>
    <row r="861" spans="1:11" ht="12.75">
      <c r="A861" s="372"/>
      <c r="B861" s="372"/>
      <c r="C861" s="115"/>
      <c r="D861" s="115"/>
      <c r="E861" s="115"/>
      <c r="F861" s="60"/>
      <c r="G861" s="373"/>
      <c r="H861" s="60"/>
      <c r="I861" s="60"/>
      <c r="J861" s="60"/>
      <c r="K861" s="115"/>
    </row>
    <row r="862" spans="1:11" ht="12.75">
      <c r="A862" s="372"/>
      <c r="B862" s="372"/>
      <c r="C862" s="115"/>
      <c r="D862" s="115"/>
      <c r="E862" s="115"/>
      <c r="F862" s="60"/>
      <c r="G862" s="373"/>
      <c r="H862" s="60"/>
      <c r="I862" s="60"/>
      <c r="J862" s="60"/>
      <c r="K862" s="115"/>
    </row>
    <row r="863" spans="1:11" ht="12.75">
      <c r="A863" s="372"/>
      <c r="B863" s="372"/>
      <c r="C863" s="115"/>
      <c r="D863" s="115"/>
      <c r="E863" s="115"/>
      <c r="F863" s="60"/>
      <c r="G863" s="373"/>
      <c r="H863" s="60"/>
      <c r="I863" s="60"/>
      <c r="J863" s="60"/>
      <c r="K863" s="115"/>
    </row>
    <row r="864" spans="1:11" ht="12.75">
      <c r="A864" s="372"/>
      <c r="B864" s="372"/>
      <c r="C864" s="115"/>
      <c r="D864" s="115"/>
      <c r="E864" s="115"/>
      <c r="F864" s="60"/>
      <c r="G864" s="373"/>
      <c r="H864" s="60"/>
      <c r="I864" s="60"/>
      <c r="J864" s="60"/>
      <c r="K864" s="115"/>
    </row>
    <row r="865" spans="1:11" ht="12.75">
      <c r="A865" s="372"/>
      <c r="B865" s="372"/>
      <c r="C865" s="115"/>
      <c r="D865" s="115"/>
      <c r="E865" s="115"/>
      <c r="F865" s="60"/>
      <c r="G865" s="373"/>
      <c r="H865" s="60"/>
      <c r="I865" s="60"/>
      <c r="J865" s="60"/>
      <c r="K865" s="115"/>
    </row>
    <row r="866" spans="1:11" ht="12.75">
      <c r="A866" s="372"/>
      <c r="B866" s="372"/>
      <c r="C866" s="115"/>
      <c r="D866" s="115"/>
      <c r="E866" s="115"/>
      <c r="F866" s="60"/>
      <c r="G866" s="373"/>
      <c r="H866" s="60"/>
      <c r="I866" s="60"/>
      <c r="J866" s="60"/>
      <c r="K866" s="115"/>
    </row>
    <row r="867" spans="1:11" ht="12.75">
      <c r="A867" s="372"/>
      <c r="B867" s="372"/>
      <c r="C867" s="115"/>
      <c r="D867" s="115"/>
      <c r="E867" s="115"/>
      <c r="F867" s="60"/>
      <c r="G867" s="373"/>
      <c r="H867" s="60"/>
      <c r="I867" s="60"/>
      <c r="J867" s="60"/>
      <c r="K867" s="115"/>
    </row>
    <row r="868" spans="1:11" ht="12.75">
      <c r="A868" s="372"/>
      <c r="B868" s="372"/>
      <c r="C868" s="115"/>
      <c r="D868" s="115"/>
      <c r="E868" s="115"/>
      <c r="F868" s="60"/>
      <c r="G868" s="373"/>
      <c r="H868" s="60"/>
      <c r="I868" s="60"/>
      <c r="J868" s="60"/>
      <c r="K868" s="115"/>
    </row>
    <row r="869" spans="1:11" ht="12.75">
      <c r="A869" s="372"/>
      <c r="B869" s="372"/>
      <c r="C869" s="115"/>
      <c r="D869" s="115"/>
      <c r="E869" s="115"/>
      <c r="F869" s="60"/>
      <c r="G869" s="373"/>
      <c r="H869" s="60"/>
      <c r="I869" s="60"/>
      <c r="J869" s="60"/>
      <c r="K869" s="115"/>
    </row>
    <row r="870" spans="1:11" ht="12.75">
      <c r="A870" s="372"/>
      <c r="B870" s="372"/>
      <c r="C870" s="115"/>
      <c r="D870" s="115"/>
      <c r="E870" s="115"/>
      <c r="F870" s="60"/>
      <c r="G870" s="373"/>
      <c r="H870" s="60"/>
      <c r="I870" s="60"/>
      <c r="J870" s="60"/>
      <c r="K870" s="115"/>
    </row>
    <row r="871" spans="1:11" ht="12.75">
      <c r="A871" s="372"/>
      <c r="B871" s="372"/>
      <c r="C871" s="115"/>
      <c r="D871" s="115"/>
      <c r="E871" s="115"/>
      <c r="F871" s="60"/>
      <c r="G871" s="373"/>
      <c r="H871" s="60"/>
      <c r="I871" s="60"/>
      <c r="J871" s="60"/>
      <c r="K871" s="115"/>
    </row>
    <row r="872" spans="1:11" ht="12.75">
      <c r="A872" s="372"/>
      <c r="B872" s="372"/>
      <c r="C872" s="115"/>
      <c r="D872" s="115"/>
      <c r="E872" s="115"/>
      <c r="F872" s="60"/>
      <c r="G872" s="373"/>
      <c r="H872" s="60"/>
      <c r="I872" s="60"/>
      <c r="J872" s="60"/>
      <c r="K872" s="115"/>
    </row>
    <row r="873" spans="1:11" ht="12.75">
      <c r="A873" s="372"/>
      <c r="B873" s="372"/>
      <c r="C873" s="115"/>
      <c r="D873" s="115"/>
      <c r="E873" s="115"/>
      <c r="F873" s="60"/>
      <c r="G873" s="373"/>
      <c r="H873" s="60"/>
      <c r="I873" s="60"/>
      <c r="J873" s="60"/>
      <c r="K873" s="115"/>
    </row>
    <row r="874" spans="1:11" ht="12.75">
      <c r="A874" s="372"/>
      <c r="B874" s="372"/>
      <c r="C874" s="115"/>
      <c r="D874" s="115"/>
      <c r="E874" s="115"/>
      <c r="F874" s="60"/>
      <c r="G874" s="373"/>
      <c r="H874" s="60"/>
      <c r="I874" s="60"/>
      <c r="J874" s="60"/>
      <c r="K874" s="115"/>
    </row>
    <row r="875" spans="1:11" ht="12.75">
      <c r="A875" s="372"/>
      <c r="B875" s="372"/>
      <c r="C875" s="115"/>
      <c r="D875" s="115"/>
      <c r="E875" s="115"/>
      <c r="F875" s="60"/>
      <c r="G875" s="373"/>
      <c r="H875" s="60"/>
      <c r="I875" s="60"/>
      <c r="J875" s="60"/>
      <c r="K875" s="115"/>
    </row>
    <row r="876" spans="1:11" ht="12.75">
      <c r="A876" s="372"/>
      <c r="B876" s="372"/>
      <c r="C876" s="115"/>
      <c r="D876" s="115"/>
      <c r="E876" s="115"/>
      <c r="F876" s="60"/>
      <c r="G876" s="373"/>
      <c r="H876" s="60"/>
      <c r="I876" s="60"/>
      <c r="J876" s="60"/>
      <c r="K876" s="115"/>
    </row>
    <row r="877" spans="1:11" ht="12.75">
      <c r="A877" s="372"/>
      <c r="B877" s="372"/>
      <c r="C877" s="115"/>
      <c r="D877" s="115"/>
      <c r="E877" s="115"/>
      <c r="F877" s="60"/>
      <c r="G877" s="373"/>
      <c r="H877" s="60"/>
      <c r="I877" s="60"/>
      <c r="J877" s="60"/>
      <c r="K877" s="115"/>
    </row>
    <row r="878" spans="1:11" ht="12.75">
      <c r="A878" s="372"/>
      <c r="B878" s="372"/>
      <c r="C878" s="115"/>
      <c r="D878" s="115"/>
      <c r="E878" s="115"/>
      <c r="F878" s="60"/>
      <c r="G878" s="373"/>
      <c r="H878" s="60"/>
      <c r="I878" s="60"/>
      <c r="J878" s="60"/>
      <c r="K878" s="115"/>
    </row>
    <row r="879" spans="1:11" ht="12.75">
      <c r="A879" s="372"/>
      <c r="B879" s="372"/>
      <c r="C879" s="115"/>
      <c r="D879" s="115"/>
      <c r="E879" s="115"/>
      <c r="F879" s="60"/>
      <c r="G879" s="373"/>
      <c r="H879" s="60"/>
      <c r="I879" s="60"/>
      <c r="J879" s="60"/>
      <c r="K879" s="115"/>
    </row>
    <row r="880" spans="1:11" ht="12.75">
      <c r="A880" s="372"/>
      <c r="B880" s="372"/>
      <c r="C880" s="115"/>
      <c r="D880" s="115"/>
      <c r="E880" s="115"/>
      <c r="F880" s="60"/>
      <c r="G880" s="373"/>
      <c r="H880" s="60"/>
      <c r="I880" s="60"/>
      <c r="J880" s="60"/>
      <c r="K880" s="115"/>
    </row>
    <row r="881" spans="1:11" ht="12.75">
      <c r="A881" s="372"/>
      <c r="B881" s="372"/>
      <c r="C881" s="115"/>
      <c r="D881" s="115"/>
      <c r="E881" s="115"/>
      <c r="F881" s="60"/>
      <c r="G881" s="373"/>
      <c r="H881" s="60"/>
      <c r="I881" s="60"/>
      <c r="J881" s="60"/>
      <c r="K881" s="115"/>
    </row>
    <row r="882" spans="1:11" ht="12.75">
      <c r="A882" s="372"/>
      <c r="B882" s="372"/>
      <c r="C882" s="115"/>
      <c r="D882" s="115"/>
      <c r="E882" s="115"/>
      <c r="F882" s="60"/>
      <c r="G882" s="373"/>
      <c r="H882" s="60"/>
      <c r="I882" s="60"/>
      <c r="J882" s="60"/>
      <c r="K882" s="115"/>
    </row>
    <row r="883" spans="1:11" ht="12.75">
      <c r="A883" s="372"/>
      <c r="B883" s="372"/>
      <c r="C883" s="115"/>
      <c r="D883" s="115"/>
      <c r="E883" s="115"/>
      <c r="F883" s="60"/>
      <c r="G883" s="373"/>
      <c r="H883" s="60"/>
      <c r="I883" s="60"/>
      <c r="J883" s="60"/>
      <c r="K883" s="115"/>
    </row>
    <row r="884" spans="1:11" ht="12.75">
      <c r="A884" s="372"/>
      <c r="B884" s="372"/>
      <c r="C884" s="115"/>
      <c r="D884" s="115"/>
      <c r="E884" s="115"/>
      <c r="F884" s="60"/>
      <c r="G884" s="373"/>
      <c r="H884" s="60"/>
      <c r="I884" s="60"/>
      <c r="J884" s="60"/>
      <c r="K884" s="115"/>
    </row>
    <row r="885" spans="1:11" ht="12.75">
      <c r="A885" s="372"/>
      <c r="B885" s="372"/>
      <c r="C885" s="115"/>
      <c r="D885" s="115"/>
      <c r="E885" s="115"/>
      <c r="F885" s="60"/>
      <c r="G885" s="373"/>
      <c r="H885" s="60"/>
      <c r="I885" s="60"/>
      <c r="J885" s="60"/>
      <c r="K885" s="115"/>
    </row>
    <row r="886" spans="1:11" ht="12.75">
      <c r="A886" s="372"/>
      <c r="B886" s="372"/>
      <c r="C886" s="115"/>
      <c r="D886" s="115"/>
      <c r="E886" s="115"/>
      <c r="F886" s="60"/>
      <c r="G886" s="373"/>
      <c r="H886" s="60"/>
      <c r="I886" s="60"/>
      <c r="J886" s="60"/>
      <c r="K886" s="115"/>
    </row>
    <row r="887" spans="1:11" ht="12.75">
      <c r="A887" s="372"/>
      <c r="B887" s="372"/>
      <c r="C887" s="115"/>
      <c r="D887" s="115"/>
      <c r="E887" s="115"/>
      <c r="F887" s="60"/>
      <c r="G887" s="373"/>
      <c r="H887" s="60"/>
      <c r="I887" s="60"/>
      <c r="J887" s="60"/>
      <c r="K887" s="115"/>
    </row>
    <row r="888" spans="1:11" ht="12.75">
      <c r="A888" s="372"/>
      <c r="B888" s="372"/>
      <c r="C888" s="115"/>
      <c r="D888" s="115"/>
      <c r="E888" s="115"/>
      <c r="F888" s="60"/>
      <c r="G888" s="373"/>
      <c r="H888" s="60"/>
      <c r="I888" s="60"/>
      <c r="J888" s="60"/>
      <c r="K888" s="115"/>
    </row>
    <row r="889" spans="1:11" ht="12.75">
      <c r="A889" s="372"/>
      <c r="B889" s="372"/>
      <c r="C889" s="115"/>
      <c r="D889" s="115"/>
      <c r="E889" s="115"/>
      <c r="F889" s="60"/>
      <c r="G889" s="373"/>
      <c r="H889" s="60"/>
      <c r="I889" s="60"/>
      <c r="J889" s="60"/>
      <c r="K889" s="115"/>
    </row>
    <row r="890" spans="1:11" ht="12.75">
      <c r="A890" s="372"/>
      <c r="B890" s="372"/>
      <c r="C890" s="115"/>
      <c r="D890" s="115"/>
      <c r="E890" s="115"/>
      <c r="F890" s="60"/>
      <c r="G890" s="373"/>
      <c r="H890" s="60"/>
      <c r="I890" s="60"/>
      <c r="J890" s="60"/>
      <c r="K890" s="115"/>
    </row>
    <row r="891" spans="1:11" ht="12.75">
      <c r="A891" s="372"/>
      <c r="B891" s="372"/>
      <c r="C891" s="115"/>
      <c r="D891" s="115"/>
      <c r="E891" s="115"/>
      <c r="F891" s="60"/>
      <c r="G891" s="373"/>
      <c r="H891" s="60"/>
      <c r="I891" s="60"/>
      <c r="J891" s="60"/>
      <c r="K891" s="115"/>
    </row>
    <row r="892" spans="1:11" ht="12.75">
      <c r="A892" s="372"/>
      <c r="B892" s="372"/>
      <c r="C892" s="115"/>
      <c r="D892" s="115"/>
      <c r="E892" s="115"/>
      <c r="F892" s="60"/>
      <c r="G892" s="373"/>
      <c r="H892" s="60"/>
      <c r="I892" s="60"/>
      <c r="J892" s="60"/>
      <c r="K892" s="115"/>
    </row>
    <row r="893" spans="1:11" ht="12.75">
      <c r="A893" s="372"/>
      <c r="B893" s="372"/>
      <c r="C893" s="115"/>
      <c r="D893" s="115"/>
      <c r="E893" s="115"/>
      <c r="F893" s="60"/>
      <c r="G893" s="373"/>
      <c r="H893" s="60"/>
      <c r="I893" s="60"/>
      <c r="J893" s="60"/>
      <c r="K893" s="115"/>
    </row>
    <row r="894" spans="1:11" ht="12.75">
      <c r="A894" s="372"/>
      <c r="B894" s="372"/>
      <c r="C894" s="115"/>
      <c r="D894" s="115"/>
      <c r="E894" s="115"/>
      <c r="F894" s="60"/>
      <c r="G894" s="373"/>
      <c r="H894" s="60"/>
      <c r="I894" s="60"/>
      <c r="J894" s="60"/>
      <c r="K894" s="115"/>
    </row>
    <row r="895" spans="1:11" ht="12.75">
      <c r="A895" s="372"/>
      <c r="B895" s="372"/>
      <c r="C895" s="115"/>
      <c r="D895" s="115"/>
      <c r="E895" s="115"/>
      <c r="F895" s="60"/>
      <c r="G895" s="373"/>
      <c r="H895" s="60"/>
      <c r="I895" s="60"/>
      <c r="J895" s="60"/>
      <c r="K895" s="115"/>
    </row>
    <row r="896" spans="1:11" ht="12.75">
      <c r="A896" s="372"/>
      <c r="B896" s="372"/>
      <c r="C896" s="115"/>
      <c r="D896" s="115"/>
      <c r="E896" s="115"/>
      <c r="F896" s="60"/>
      <c r="G896" s="373"/>
      <c r="H896" s="60"/>
      <c r="I896" s="60"/>
      <c r="J896" s="60"/>
      <c r="K896" s="115"/>
    </row>
    <row r="897" spans="1:11" ht="12.75">
      <c r="A897" s="372"/>
      <c r="B897" s="372"/>
      <c r="C897" s="115"/>
      <c r="D897" s="115"/>
      <c r="E897" s="115"/>
      <c r="F897" s="60"/>
      <c r="G897" s="373"/>
      <c r="H897" s="60"/>
      <c r="I897" s="60"/>
      <c r="J897" s="60"/>
      <c r="K897" s="115"/>
    </row>
    <row r="898" spans="1:11" ht="12.75">
      <c r="A898" s="372"/>
      <c r="B898" s="372"/>
      <c r="C898" s="115"/>
      <c r="D898" s="115"/>
      <c r="E898" s="115"/>
      <c r="F898" s="60"/>
      <c r="G898" s="373"/>
      <c r="H898" s="60"/>
      <c r="I898" s="60"/>
      <c r="J898" s="60"/>
      <c r="K898" s="115"/>
    </row>
    <row r="899" spans="1:11" ht="12.75">
      <c r="A899" s="372"/>
      <c r="B899" s="372"/>
      <c r="C899" s="115"/>
      <c r="D899" s="115"/>
      <c r="E899" s="115"/>
      <c r="F899" s="60"/>
      <c r="G899" s="373"/>
      <c r="H899" s="60"/>
      <c r="I899" s="60"/>
      <c r="J899" s="60"/>
      <c r="K899" s="115"/>
    </row>
    <row r="900" spans="1:11" ht="12.75">
      <c r="A900" s="372"/>
      <c r="B900" s="372"/>
      <c r="C900" s="115"/>
      <c r="D900" s="115"/>
      <c r="E900" s="115"/>
      <c r="F900" s="60"/>
      <c r="G900" s="373"/>
      <c r="H900" s="60"/>
      <c r="I900" s="60"/>
      <c r="J900" s="60"/>
      <c r="K900" s="115"/>
    </row>
    <row r="901" spans="1:11" ht="12.75">
      <c r="A901" s="372"/>
      <c r="B901" s="372"/>
      <c r="C901" s="115"/>
      <c r="D901" s="115"/>
      <c r="E901" s="115"/>
      <c r="F901" s="60"/>
      <c r="G901" s="373"/>
      <c r="H901" s="60"/>
      <c r="I901" s="60"/>
      <c r="J901" s="60"/>
      <c r="K901" s="115"/>
    </row>
    <row r="902" spans="1:11" ht="12.75">
      <c r="A902" s="372"/>
      <c r="B902" s="372"/>
      <c r="C902" s="115"/>
      <c r="D902" s="115"/>
      <c r="E902" s="115"/>
      <c r="F902" s="60"/>
      <c r="G902" s="373"/>
      <c r="H902" s="60"/>
      <c r="I902" s="60"/>
      <c r="J902" s="60"/>
      <c r="K902" s="115"/>
    </row>
    <row r="903" spans="1:11" ht="12.75">
      <c r="A903" s="372"/>
      <c r="B903" s="372"/>
      <c r="C903" s="115"/>
      <c r="D903" s="115"/>
      <c r="E903" s="115"/>
      <c r="F903" s="60"/>
      <c r="G903" s="373"/>
      <c r="H903" s="60"/>
      <c r="I903" s="60"/>
      <c r="J903" s="60"/>
      <c r="K903" s="115"/>
    </row>
    <row r="904" spans="1:11" ht="12.75">
      <c r="A904" s="372"/>
      <c r="B904" s="372"/>
      <c r="C904" s="115"/>
      <c r="D904" s="115"/>
      <c r="E904" s="115"/>
      <c r="F904" s="60"/>
      <c r="G904" s="373"/>
      <c r="H904" s="60"/>
      <c r="I904" s="60"/>
      <c r="J904" s="60"/>
      <c r="K904" s="115"/>
    </row>
    <row r="905" spans="1:11" ht="12.75">
      <c r="A905" s="372"/>
      <c r="B905" s="372"/>
      <c r="C905" s="115"/>
      <c r="D905" s="115"/>
      <c r="E905" s="115"/>
      <c r="F905" s="60"/>
      <c r="G905" s="373"/>
      <c r="H905" s="60"/>
      <c r="I905" s="60"/>
      <c r="J905" s="60"/>
      <c r="K905" s="115"/>
    </row>
    <row r="906" spans="1:11" ht="12.75">
      <c r="A906" s="372"/>
      <c r="B906" s="372"/>
      <c r="C906" s="115"/>
      <c r="D906" s="115"/>
      <c r="E906" s="115"/>
      <c r="F906" s="60"/>
      <c r="G906" s="373"/>
      <c r="H906" s="60"/>
      <c r="I906" s="60"/>
      <c r="J906" s="60"/>
      <c r="K906" s="115"/>
    </row>
    <row r="907" spans="1:11" ht="12.75">
      <c r="A907" s="372"/>
      <c r="B907" s="372"/>
      <c r="C907" s="115"/>
      <c r="D907" s="115"/>
      <c r="E907" s="115"/>
      <c r="F907" s="60"/>
      <c r="G907" s="373"/>
      <c r="H907" s="60"/>
      <c r="I907" s="60"/>
      <c r="J907" s="60"/>
      <c r="K907" s="115"/>
    </row>
    <row r="908" spans="1:11" ht="12.75">
      <c r="A908" s="372"/>
      <c r="B908" s="372"/>
      <c r="C908" s="115"/>
      <c r="D908" s="115"/>
      <c r="E908" s="115"/>
      <c r="F908" s="60"/>
      <c r="G908" s="373"/>
      <c r="H908" s="60"/>
      <c r="I908" s="60"/>
      <c r="J908" s="60"/>
      <c r="K908" s="115"/>
    </row>
    <row r="909" spans="1:11" ht="12.75">
      <c r="A909" s="372"/>
      <c r="B909" s="372"/>
      <c r="C909" s="115"/>
      <c r="D909" s="115"/>
      <c r="E909" s="115"/>
      <c r="F909" s="60"/>
      <c r="G909" s="373"/>
      <c r="H909" s="60"/>
      <c r="I909" s="60"/>
      <c r="J909" s="60"/>
      <c r="K909" s="115"/>
    </row>
    <row r="910" spans="1:11" ht="12.75">
      <c r="A910" s="372"/>
      <c r="B910" s="372"/>
      <c r="C910" s="115"/>
      <c r="D910" s="115"/>
      <c r="E910" s="115"/>
      <c r="F910" s="60"/>
      <c r="G910" s="373"/>
      <c r="H910" s="60"/>
      <c r="I910" s="60"/>
      <c r="J910" s="60"/>
      <c r="K910" s="115"/>
    </row>
    <row r="911" spans="1:11" ht="12.75">
      <c r="A911" s="372"/>
      <c r="B911" s="372"/>
      <c r="C911" s="115"/>
      <c r="D911" s="115"/>
      <c r="E911" s="115"/>
      <c r="F911" s="60"/>
      <c r="G911" s="373"/>
      <c r="H911" s="60"/>
      <c r="I911" s="60"/>
      <c r="J911" s="60"/>
      <c r="K911" s="115"/>
    </row>
    <row r="912" spans="1:11" ht="12.75">
      <c r="A912" s="372"/>
      <c r="B912" s="372"/>
      <c r="C912" s="115"/>
      <c r="D912" s="115"/>
      <c r="E912" s="115"/>
      <c r="F912" s="60"/>
      <c r="G912" s="373"/>
      <c r="H912" s="60"/>
      <c r="I912" s="60"/>
      <c r="J912" s="60"/>
      <c r="K912" s="115"/>
    </row>
    <row r="913" spans="1:11" ht="12.75">
      <c r="A913" s="372"/>
      <c r="B913" s="372"/>
      <c r="C913" s="115"/>
      <c r="D913" s="115"/>
      <c r="E913" s="115"/>
      <c r="F913" s="60"/>
      <c r="G913" s="373"/>
      <c r="H913" s="60"/>
      <c r="I913" s="60"/>
      <c r="J913" s="60"/>
      <c r="K913" s="115"/>
    </row>
    <row r="914" spans="1:11" ht="12.75">
      <c r="A914" s="372"/>
      <c r="B914" s="372"/>
      <c r="C914" s="115"/>
      <c r="D914" s="115"/>
      <c r="E914" s="115"/>
      <c r="F914" s="60"/>
      <c r="G914" s="373"/>
      <c r="H914" s="60"/>
      <c r="I914" s="60"/>
      <c r="J914" s="60"/>
      <c r="K914" s="115"/>
    </row>
    <row r="915" spans="1:11" ht="12.75">
      <c r="A915" s="372"/>
      <c r="B915" s="372"/>
      <c r="C915" s="115"/>
      <c r="D915" s="115"/>
      <c r="E915" s="115"/>
      <c r="F915" s="60"/>
      <c r="G915" s="373"/>
      <c r="H915" s="60"/>
      <c r="I915" s="60"/>
      <c r="J915" s="60"/>
      <c r="K915" s="115"/>
    </row>
    <row r="916" spans="1:11" ht="12.75">
      <c r="A916" s="372"/>
      <c r="B916" s="372"/>
      <c r="C916" s="115"/>
      <c r="D916" s="115"/>
      <c r="E916" s="115"/>
      <c r="F916" s="60"/>
      <c r="G916" s="373"/>
      <c r="H916" s="60"/>
      <c r="I916" s="60"/>
      <c r="J916" s="60"/>
      <c r="K916" s="115"/>
    </row>
    <row r="917" spans="1:11" ht="12.75">
      <c r="A917" s="372"/>
      <c r="B917" s="372"/>
      <c r="C917" s="115"/>
      <c r="D917" s="115"/>
      <c r="E917" s="115"/>
      <c r="F917" s="60"/>
      <c r="G917" s="373"/>
      <c r="H917" s="60"/>
      <c r="I917" s="60"/>
      <c r="J917" s="60"/>
      <c r="K917" s="115"/>
    </row>
    <row r="918" spans="1:11" ht="12.75">
      <c r="A918" s="372"/>
      <c r="B918" s="372"/>
      <c r="C918" s="115"/>
      <c r="D918" s="115"/>
      <c r="E918" s="115"/>
      <c r="F918" s="60"/>
      <c r="G918" s="373"/>
      <c r="H918" s="60"/>
      <c r="I918" s="60"/>
      <c r="J918" s="60"/>
      <c r="K918" s="115"/>
    </row>
    <row r="919" spans="1:11" ht="12.75">
      <c r="A919" s="372"/>
      <c r="B919" s="372"/>
      <c r="C919" s="115"/>
      <c r="D919" s="115"/>
      <c r="E919" s="115"/>
      <c r="F919" s="60"/>
      <c r="G919" s="373"/>
      <c r="H919" s="60"/>
      <c r="I919" s="60"/>
      <c r="J919" s="60"/>
      <c r="K919" s="115"/>
    </row>
    <row r="920" spans="1:11" ht="12.75">
      <c r="A920" s="372"/>
      <c r="B920" s="372"/>
      <c r="C920" s="115"/>
      <c r="D920" s="115"/>
      <c r="E920" s="115"/>
      <c r="F920" s="60"/>
      <c r="G920" s="373"/>
      <c r="H920" s="60"/>
      <c r="I920" s="60"/>
      <c r="J920" s="60"/>
      <c r="K920" s="115"/>
    </row>
    <row r="921" spans="1:11" ht="12.75">
      <c r="A921" s="372"/>
      <c r="B921" s="372"/>
      <c r="C921" s="115"/>
      <c r="D921" s="115"/>
      <c r="E921" s="115"/>
      <c r="F921" s="60"/>
      <c r="G921" s="373"/>
      <c r="H921" s="60"/>
      <c r="I921" s="60"/>
      <c r="J921" s="60"/>
      <c r="K921" s="115"/>
    </row>
    <row r="922" spans="1:11" ht="12.75">
      <c r="A922" s="372"/>
      <c r="B922" s="372"/>
      <c r="C922" s="115"/>
      <c r="D922" s="115"/>
      <c r="E922" s="115"/>
      <c r="F922" s="60"/>
      <c r="G922" s="373"/>
      <c r="H922" s="60"/>
      <c r="I922" s="60"/>
      <c r="J922" s="60"/>
      <c r="K922" s="115"/>
    </row>
    <row r="923" spans="1:11" ht="12.75">
      <c r="A923" s="372"/>
      <c r="B923" s="372"/>
      <c r="C923" s="115"/>
      <c r="D923" s="115"/>
      <c r="E923" s="115"/>
      <c r="F923" s="60"/>
      <c r="G923" s="373"/>
      <c r="H923" s="60"/>
      <c r="I923" s="60"/>
      <c r="J923" s="60"/>
      <c r="K923" s="115"/>
    </row>
    <row r="924" spans="1:11" ht="12.75">
      <c r="A924" s="372"/>
      <c r="B924" s="372"/>
      <c r="C924" s="115"/>
      <c r="D924" s="115"/>
      <c r="E924" s="115"/>
      <c r="F924" s="60"/>
      <c r="G924" s="373"/>
      <c r="H924" s="60"/>
      <c r="I924" s="60"/>
      <c r="J924" s="60"/>
      <c r="K924" s="115"/>
    </row>
    <row r="925" spans="1:11" ht="12.75">
      <c r="A925" s="372"/>
      <c r="B925" s="372"/>
      <c r="C925" s="115"/>
      <c r="D925" s="115"/>
      <c r="E925" s="115"/>
      <c r="F925" s="60"/>
      <c r="G925" s="373"/>
      <c r="H925" s="60"/>
      <c r="I925" s="60"/>
      <c r="J925" s="60"/>
      <c r="K925" s="115"/>
    </row>
    <row r="926" spans="1:11" ht="12.75">
      <c r="A926" s="372"/>
      <c r="B926" s="372"/>
      <c r="C926" s="115"/>
      <c r="D926" s="115"/>
      <c r="E926" s="115"/>
      <c r="F926" s="60"/>
      <c r="G926" s="373"/>
      <c r="H926" s="60"/>
      <c r="I926" s="60"/>
      <c r="J926" s="60"/>
      <c r="K926" s="115"/>
    </row>
    <row r="927" spans="1:11" ht="12.75">
      <c r="A927" s="372"/>
      <c r="B927" s="372"/>
      <c r="C927" s="115"/>
      <c r="D927" s="115"/>
      <c r="E927" s="115"/>
      <c r="F927" s="60"/>
      <c r="G927" s="373"/>
      <c r="H927" s="60"/>
      <c r="I927" s="60"/>
      <c r="J927" s="60"/>
      <c r="K927" s="115"/>
    </row>
    <row r="928" spans="1:11" ht="12.75">
      <c r="A928" s="372"/>
      <c r="B928" s="372"/>
      <c r="C928" s="115"/>
      <c r="D928" s="115"/>
      <c r="E928" s="115"/>
      <c r="F928" s="60"/>
      <c r="G928" s="373"/>
      <c r="H928" s="60"/>
      <c r="I928" s="60"/>
      <c r="J928" s="60"/>
      <c r="K928" s="115"/>
    </row>
    <row r="929" spans="1:11" ht="12.75">
      <c r="A929" s="372"/>
      <c r="B929" s="372"/>
      <c r="C929" s="115"/>
      <c r="D929" s="115"/>
      <c r="E929" s="115"/>
      <c r="F929" s="60"/>
      <c r="G929" s="373"/>
      <c r="H929" s="60"/>
      <c r="I929" s="60"/>
      <c r="J929" s="60"/>
      <c r="K929" s="115"/>
    </row>
    <row r="930" spans="1:11" ht="12.75">
      <c r="A930" s="372"/>
      <c r="B930" s="372"/>
      <c r="C930" s="115"/>
      <c r="D930" s="115"/>
      <c r="E930" s="115"/>
      <c r="F930" s="60"/>
      <c r="G930" s="373"/>
      <c r="H930" s="60"/>
      <c r="I930" s="60"/>
      <c r="J930" s="60"/>
      <c r="K930" s="115"/>
    </row>
    <row r="931" spans="1:11" ht="12.75">
      <c r="A931" s="372"/>
      <c r="B931" s="372"/>
      <c r="C931" s="115"/>
      <c r="D931" s="115"/>
      <c r="E931" s="115"/>
      <c r="F931" s="60"/>
      <c r="G931" s="373"/>
      <c r="H931" s="60"/>
      <c r="I931" s="60"/>
      <c r="J931" s="60"/>
      <c r="K931" s="115"/>
    </row>
    <row r="932" spans="1:11" ht="12.75">
      <c r="A932" s="372"/>
      <c r="B932" s="372"/>
      <c r="C932" s="115"/>
      <c r="D932" s="115"/>
      <c r="E932" s="115"/>
      <c r="F932" s="60"/>
      <c r="G932" s="373"/>
      <c r="H932" s="60"/>
      <c r="I932" s="60"/>
      <c r="J932" s="60"/>
      <c r="K932" s="115"/>
    </row>
    <row r="933" spans="1:11" ht="12.75">
      <c r="A933" s="372"/>
      <c r="B933" s="372"/>
      <c r="C933" s="115"/>
      <c r="D933" s="115"/>
      <c r="E933" s="115"/>
      <c r="F933" s="60"/>
      <c r="G933" s="373"/>
      <c r="H933" s="60"/>
      <c r="I933" s="60"/>
      <c r="J933" s="60"/>
      <c r="K933" s="115"/>
    </row>
    <row r="934" spans="1:11" ht="12.75">
      <c r="A934" s="372"/>
      <c r="B934" s="372"/>
      <c r="C934" s="115"/>
      <c r="D934" s="115"/>
      <c r="E934" s="115"/>
      <c r="F934" s="60"/>
      <c r="G934" s="373"/>
      <c r="H934" s="60"/>
      <c r="I934" s="60"/>
      <c r="J934" s="60"/>
      <c r="K934" s="115"/>
    </row>
    <row r="935" spans="1:11" ht="12.75">
      <c r="A935" s="372"/>
      <c r="B935" s="372"/>
      <c r="C935" s="115"/>
      <c r="D935" s="115"/>
      <c r="E935" s="115"/>
      <c r="F935" s="60"/>
      <c r="G935" s="373"/>
      <c r="H935" s="60"/>
      <c r="I935" s="60"/>
      <c r="J935" s="60"/>
      <c r="K935" s="115"/>
    </row>
    <row r="936" spans="1:11" ht="12.75">
      <c r="A936" s="372"/>
      <c r="B936" s="372"/>
      <c r="C936" s="115"/>
      <c r="D936" s="115"/>
      <c r="E936" s="115"/>
      <c r="F936" s="60"/>
      <c r="G936" s="373"/>
      <c r="H936" s="60"/>
      <c r="I936" s="60"/>
      <c r="J936" s="60"/>
      <c r="K936" s="115"/>
    </row>
    <row r="937" spans="1:11" ht="12.75">
      <c r="A937" s="372"/>
      <c r="B937" s="372"/>
      <c r="C937" s="115"/>
      <c r="D937" s="115"/>
      <c r="E937" s="115"/>
      <c r="F937" s="60"/>
      <c r="G937" s="373"/>
      <c r="H937" s="60"/>
      <c r="I937" s="60"/>
      <c r="J937" s="60"/>
      <c r="K937" s="115"/>
    </row>
    <row r="938" spans="1:11" ht="12.75">
      <c r="A938" s="372"/>
      <c r="B938" s="372"/>
      <c r="C938" s="115"/>
      <c r="D938" s="115"/>
      <c r="E938" s="115"/>
      <c r="F938" s="60"/>
      <c r="G938" s="373"/>
      <c r="H938" s="60"/>
      <c r="I938" s="60"/>
      <c r="J938" s="60"/>
      <c r="K938" s="115"/>
    </row>
    <row r="939" spans="1:11" ht="12.75">
      <c r="A939" s="372"/>
      <c r="B939" s="372"/>
      <c r="C939" s="115"/>
      <c r="D939" s="115"/>
      <c r="E939" s="115"/>
      <c r="F939" s="60"/>
      <c r="G939" s="373"/>
      <c r="H939" s="60"/>
      <c r="I939" s="60"/>
      <c r="J939" s="60"/>
      <c r="K939" s="115"/>
    </row>
    <row r="940" spans="1:11" ht="12.75">
      <c r="A940" s="372"/>
      <c r="B940" s="372"/>
      <c r="C940" s="115"/>
      <c r="D940" s="115"/>
      <c r="E940" s="115"/>
      <c r="F940" s="60"/>
      <c r="G940" s="373"/>
      <c r="H940" s="60"/>
      <c r="I940" s="60"/>
      <c r="J940" s="60"/>
      <c r="K940" s="115"/>
    </row>
    <row r="941" spans="1:11" ht="12.75">
      <c r="A941" s="372"/>
      <c r="B941" s="372"/>
      <c r="C941" s="115"/>
      <c r="D941" s="115"/>
      <c r="E941" s="115"/>
      <c r="F941" s="60"/>
      <c r="G941" s="373"/>
      <c r="H941" s="60"/>
      <c r="I941" s="60"/>
      <c r="J941" s="60"/>
      <c r="K941" s="115"/>
    </row>
    <row r="942" spans="1:11" ht="12.75">
      <c r="A942" s="372"/>
      <c r="B942" s="372"/>
      <c r="C942" s="115"/>
      <c r="D942" s="115"/>
      <c r="E942" s="115"/>
      <c r="F942" s="60"/>
      <c r="G942" s="373"/>
      <c r="H942" s="60"/>
      <c r="I942" s="60"/>
      <c r="J942" s="60"/>
      <c r="K942" s="115"/>
    </row>
    <row r="943" spans="1:11" ht="12.75">
      <c r="A943" s="372"/>
      <c r="B943" s="372"/>
      <c r="C943" s="115"/>
      <c r="D943" s="115"/>
      <c r="E943" s="115"/>
      <c r="F943" s="60"/>
      <c r="G943" s="373"/>
      <c r="H943" s="60"/>
      <c r="I943" s="60"/>
      <c r="J943" s="60"/>
      <c r="K943" s="115"/>
    </row>
    <row r="944" spans="1:11" ht="12.75">
      <c r="A944" s="372"/>
      <c r="B944" s="372"/>
      <c r="C944" s="115"/>
      <c r="D944" s="115"/>
      <c r="E944" s="115"/>
      <c r="F944" s="60"/>
      <c r="G944" s="373"/>
      <c r="H944" s="60"/>
      <c r="I944" s="60"/>
      <c r="J944" s="60"/>
      <c r="K944" s="115"/>
    </row>
    <row r="945" spans="1:11" ht="12.75">
      <c r="A945" s="372"/>
      <c r="B945" s="372"/>
      <c r="C945" s="115"/>
      <c r="D945" s="115"/>
      <c r="E945" s="115"/>
      <c r="F945" s="60"/>
      <c r="G945" s="373"/>
      <c r="H945" s="60"/>
      <c r="I945" s="60"/>
      <c r="J945" s="60"/>
      <c r="K945" s="115"/>
    </row>
    <row r="946" spans="1:11" ht="12.75">
      <c r="A946" s="372"/>
      <c r="B946" s="372"/>
      <c r="C946" s="115"/>
      <c r="D946" s="115"/>
      <c r="E946" s="115"/>
      <c r="F946" s="60"/>
      <c r="G946" s="373"/>
      <c r="H946" s="60"/>
      <c r="I946" s="60"/>
      <c r="J946" s="60"/>
      <c r="K946" s="115"/>
    </row>
    <row r="947" spans="1:11" ht="12.75">
      <c r="A947" s="372"/>
      <c r="B947" s="372"/>
      <c r="C947" s="115"/>
      <c r="D947" s="115"/>
      <c r="E947" s="115"/>
      <c r="F947" s="60"/>
      <c r="G947" s="373"/>
      <c r="H947" s="60"/>
      <c r="I947" s="60"/>
      <c r="J947" s="60"/>
      <c r="K947" s="115"/>
    </row>
    <row r="948" spans="1:11" ht="12.75">
      <c r="A948" s="372"/>
      <c r="B948" s="372"/>
      <c r="C948" s="115"/>
      <c r="D948" s="115"/>
      <c r="E948" s="115"/>
      <c r="F948" s="60"/>
      <c r="G948" s="373"/>
      <c r="H948" s="60"/>
      <c r="I948" s="60"/>
      <c r="J948" s="60"/>
      <c r="K948" s="115"/>
    </row>
    <row r="949" spans="1:11" ht="12.75">
      <c r="A949" s="372"/>
      <c r="B949" s="372"/>
      <c r="C949" s="115"/>
      <c r="D949" s="115"/>
      <c r="E949" s="115"/>
      <c r="F949" s="60"/>
      <c r="G949" s="373"/>
      <c r="H949" s="60"/>
      <c r="I949" s="60"/>
      <c r="J949" s="60"/>
      <c r="K949" s="115"/>
    </row>
    <row r="950" spans="1:11" ht="12.75">
      <c r="A950" s="372"/>
      <c r="B950" s="372"/>
      <c r="C950" s="115"/>
      <c r="D950" s="115"/>
      <c r="E950" s="115"/>
      <c r="F950" s="60"/>
      <c r="G950" s="373"/>
      <c r="H950" s="60"/>
      <c r="I950" s="60"/>
      <c r="J950" s="60"/>
      <c r="K950" s="115"/>
    </row>
    <row r="951" spans="1:11" ht="12.75">
      <c r="A951" s="372"/>
      <c r="B951" s="372"/>
      <c r="C951" s="115"/>
      <c r="D951" s="115"/>
      <c r="E951" s="115"/>
      <c r="F951" s="60"/>
      <c r="G951" s="373"/>
      <c r="H951" s="60"/>
      <c r="I951" s="60"/>
      <c r="J951" s="60"/>
      <c r="K951" s="115"/>
    </row>
    <row r="952" spans="1:11" ht="12.75">
      <c r="A952" s="372"/>
      <c r="B952" s="372"/>
      <c r="C952" s="115"/>
      <c r="D952" s="115"/>
      <c r="E952" s="115"/>
      <c r="F952" s="60"/>
      <c r="G952" s="373"/>
      <c r="H952" s="60"/>
      <c r="I952" s="60"/>
      <c r="J952" s="60"/>
      <c r="K952" s="115"/>
    </row>
    <row r="953" spans="1:11" ht="12.75">
      <c r="A953" s="372"/>
      <c r="B953" s="372"/>
      <c r="C953" s="115"/>
      <c r="D953" s="115"/>
      <c r="E953" s="115"/>
      <c r="F953" s="60"/>
      <c r="G953" s="373"/>
      <c r="H953" s="60"/>
      <c r="I953" s="60"/>
      <c r="J953" s="60"/>
      <c r="K953" s="115"/>
    </row>
    <row r="954" spans="1:11" ht="12.75">
      <c r="A954" s="372"/>
      <c r="B954" s="372"/>
      <c r="C954" s="115"/>
      <c r="D954" s="115"/>
      <c r="E954" s="115"/>
      <c r="F954" s="60"/>
      <c r="G954" s="373"/>
      <c r="H954" s="60"/>
      <c r="I954" s="60"/>
      <c r="J954" s="60"/>
      <c r="K954" s="115"/>
    </row>
    <row r="955" spans="1:11" ht="12.75">
      <c r="A955" s="372"/>
      <c r="B955" s="372"/>
      <c r="C955" s="115"/>
      <c r="D955" s="115"/>
      <c r="E955" s="115"/>
      <c r="F955" s="60"/>
      <c r="G955" s="373"/>
      <c r="H955" s="60"/>
      <c r="I955" s="60"/>
      <c r="J955" s="60"/>
      <c r="K955" s="115"/>
    </row>
    <row r="956" spans="1:11" ht="12.75">
      <c r="A956" s="372"/>
      <c r="B956" s="372"/>
      <c r="C956" s="115"/>
      <c r="D956" s="115"/>
      <c r="E956" s="115"/>
      <c r="F956" s="60"/>
      <c r="G956" s="373"/>
      <c r="H956" s="60"/>
      <c r="I956" s="60"/>
      <c r="J956" s="60"/>
      <c r="K956" s="115"/>
    </row>
    <row r="957" spans="1:11" ht="12.75">
      <c r="A957" s="372"/>
      <c r="B957" s="372"/>
      <c r="C957" s="115"/>
      <c r="D957" s="115"/>
      <c r="E957" s="115"/>
      <c r="F957" s="60"/>
      <c r="G957" s="373"/>
      <c r="H957" s="60"/>
      <c r="I957" s="60"/>
      <c r="J957" s="60"/>
      <c r="K957" s="115"/>
    </row>
    <row r="958" spans="1:11" ht="12.75">
      <c r="A958" s="372"/>
      <c r="B958" s="372"/>
      <c r="C958" s="115"/>
      <c r="D958" s="115"/>
      <c r="E958" s="115"/>
      <c r="F958" s="60"/>
      <c r="G958" s="373"/>
      <c r="H958" s="60"/>
      <c r="I958" s="60"/>
      <c r="J958" s="60"/>
      <c r="K958" s="115"/>
    </row>
    <row r="959" spans="1:11" ht="12.75">
      <c r="A959" s="372"/>
      <c r="B959" s="372"/>
      <c r="C959" s="115"/>
      <c r="D959" s="115"/>
      <c r="E959" s="115"/>
      <c r="F959" s="60"/>
      <c r="G959" s="373"/>
      <c r="H959" s="60"/>
      <c r="I959" s="60"/>
      <c r="J959" s="60"/>
      <c r="K959" s="115"/>
    </row>
    <row r="960" spans="1:11" ht="12.75">
      <c r="A960" s="372"/>
      <c r="B960" s="372"/>
      <c r="C960" s="115"/>
      <c r="D960" s="115"/>
      <c r="E960" s="115"/>
      <c r="F960" s="60"/>
      <c r="G960" s="373"/>
      <c r="H960" s="60"/>
      <c r="I960" s="60"/>
      <c r="J960" s="60"/>
      <c r="K960" s="115"/>
    </row>
    <row r="961" spans="1:11" ht="12.75">
      <c r="A961" s="372"/>
      <c r="B961" s="372"/>
      <c r="C961" s="115"/>
      <c r="D961" s="115"/>
      <c r="E961" s="115"/>
      <c r="F961" s="60"/>
      <c r="G961" s="373"/>
      <c r="H961" s="60"/>
      <c r="I961" s="60"/>
      <c r="J961" s="60"/>
      <c r="K961" s="115"/>
    </row>
    <row r="962" spans="1:11" ht="12.75">
      <c r="A962" s="372"/>
      <c r="B962" s="372"/>
      <c r="C962" s="115"/>
      <c r="D962" s="115"/>
      <c r="E962" s="115"/>
      <c r="F962" s="60"/>
      <c r="G962" s="373"/>
      <c r="H962" s="60"/>
      <c r="I962" s="60"/>
      <c r="J962" s="60"/>
      <c r="K962" s="115"/>
    </row>
    <row r="963" spans="1:11" ht="12.75">
      <c r="A963" s="372"/>
      <c r="B963" s="372"/>
      <c r="C963" s="115"/>
      <c r="D963" s="115"/>
      <c r="E963" s="115"/>
      <c r="F963" s="60"/>
      <c r="G963" s="373"/>
      <c r="H963" s="60"/>
      <c r="I963" s="60"/>
      <c r="J963" s="60"/>
      <c r="K963" s="115"/>
    </row>
    <row r="964" spans="1:11" ht="12.75">
      <c r="A964" s="372"/>
      <c r="B964" s="372"/>
      <c r="C964" s="115"/>
      <c r="D964" s="115"/>
      <c r="E964" s="115"/>
      <c r="F964" s="60"/>
      <c r="G964" s="373"/>
      <c r="H964" s="60"/>
      <c r="I964" s="60"/>
      <c r="J964" s="60"/>
      <c r="K964" s="115"/>
    </row>
    <row r="965" spans="1:11" ht="12.75">
      <c r="A965" s="372"/>
      <c r="B965" s="372"/>
      <c r="C965" s="115"/>
      <c r="D965" s="115"/>
      <c r="E965" s="115"/>
      <c r="F965" s="60"/>
      <c r="G965" s="373"/>
      <c r="H965" s="60"/>
      <c r="I965" s="60"/>
      <c r="J965" s="60"/>
      <c r="K965" s="115"/>
    </row>
    <row r="966" spans="1:11" ht="12.75">
      <c r="A966" s="372"/>
      <c r="B966" s="372"/>
      <c r="C966" s="115"/>
      <c r="D966" s="115"/>
      <c r="E966" s="115"/>
      <c r="F966" s="60"/>
      <c r="G966" s="373"/>
      <c r="H966" s="60"/>
      <c r="I966" s="60"/>
      <c r="J966" s="60"/>
      <c r="K966" s="115"/>
    </row>
    <row r="967" spans="1:11" ht="12.75">
      <c r="A967" s="372"/>
      <c r="B967" s="372"/>
      <c r="C967" s="115"/>
      <c r="D967" s="115"/>
      <c r="E967" s="115"/>
      <c r="F967" s="60"/>
      <c r="G967" s="373"/>
      <c r="H967" s="60"/>
      <c r="I967" s="60"/>
      <c r="J967" s="60"/>
      <c r="K967" s="115"/>
    </row>
    <row r="968" spans="1:11" ht="12.75">
      <c r="A968" s="372"/>
      <c r="B968" s="372"/>
      <c r="C968" s="115"/>
      <c r="D968" s="115"/>
      <c r="E968" s="115"/>
      <c r="F968" s="60"/>
      <c r="G968" s="373"/>
      <c r="H968" s="60"/>
      <c r="I968" s="60"/>
      <c r="J968" s="60"/>
      <c r="K968" s="115"/>
    </row>
    <row r="969" spans="1:11" ht="12.75">
      <c r="A969" s="372"/>
      <c r="B969" s="372"/>
      <c r="C969" s="115"/>
      <c r="D969" s="115"/>
      <c r="E969" s="115"/>
      <c r="F969" s="60"/>
      <c r="G969" s="373"/>
      <c r="H969" s="60"/>
      <c r="I969" s="60"/>
      <c r="J969" s="60"/>
      <c r="K969" s="115"/>
    </row>
    <row r="970" spans="1:11" ht="12.75">
      <c r="A970" s="372"/>
      <c r="B970" s="372"/>
      <c r="C970" s="115"/>
      <c r="D970" s="115"/>
      <c r="E970" s="115"/>
      <c r="F970" s="60"/>
      <c r="G970" s="373"/>
      <c r="H970" s="60"/>
      <c r="I970" s="60"/>
      <c r="J970" s="60"/>
      <c r="K970" s="115"/>
    </row>
    <row r="971" spans="1:11" ht="12.75">
      <c r="A971" s="372"/>
      <c r="B971" s="372"/>
      <c r="C971" s="115"/>
      <c r="D971" s="115"/>
      <c r="E971" s="115"/>
      <c r="F971" s="60"/>
      <c r="G971" s="373"/>
      <c r="H971" s="60"/>
      <c r="I971" s="60"/>
      <c r="J971" s="60"/>
      <c r="K971" s="115"/>
    </row>
    <row r="972" spans="1:11" ht="12.75">
      <c r="A972" s="372"/>
      <c r="B972" s="372"/>
      <c r="C972" s="115"/>
      <c r="D972" s="115"/>
      <c r="E972" s="115"/>
      <c r="F972" s="60"/>
      <c r="G972" s="373"/>
      <c r="H972" s="60"/>
      <c r="I972" s="60"/>
      <c r="J972" s="60"/>
      <c r="K972" s="115"/>
    </row>
    <row r="973" spans="1:11" ht="12.75">
      <c r="A973" s="372"/>
      <c r="B973" s="372"/>
      <c r="C973" s="115"/>
      <c r="D973" s="115"/>
      <c r="E973" s="115"/>
      <c r="F973" s="60"/>
      <c r="G973" s="373"/>
      <c r="H973" s="60"/>
      <c r="I973" s="60"/>
      <c r="J973" s="60"/>
      <c r="K973" s="115"/>
    </row>
    <row r="974" spans="1:11" ht="12.75">
      <c r="A974" s="372"/>
      <c r="B974" s="372"/>
      <c r="C974" s="115"/>
      <c r="D974" s="115"/>
      <c r="E974" s="115"/>
      <c r="F974" s="60"/>
      <c r="G974" s="373"/>
      <c r="H974" s="60"/>
      <c r="I974" s="60"/>
      <c r="J974" s="60"/>
      <c r="K974" s="115"/>
    </row>
    <row r="975" spans="1:11" ht="12.75">
      <c r="A975" s="372"/>
      <c r="B975" s="372"/>
      <c r="C975" s="115"/>
      <c r="D975" s="115"/>
      <c r="E975" s="115"/>
      <c r="F975" s="60"/>
      <c r="G975" s="373"/>
      <c r="H975" s="60"/>
      <c r="I975" s="60"/>
      <c r="J975" s="60"/>
      <c r="K975" s="115"/>
    </row>
    <row r="976" spans="1:11" ht="12.75">
      <c r="A976" s="372"/>
      <c r="B976" s="372"/>
      <c r="C976" s="115"/>
      <c r="D976" s="115"/>
      <c r="E976" s="115"/>
      <c r="F976" s="60"/>
      <c r="G976" s="373"/>
      <c r="H976" s="60"/>
      <c r="I976" s="60"/>
      <c r="J976" s="60"/>
      <c r="K976" s="115"/>
    </row>
    <row r="977" spans="1:11" ht="12.75">
      <c r="A977" s="372"/>
      <c r="B977" s="372"/>
      <c r="C977" s="115"/>
      <c r="D977" s="115"/>
      <c r="E977" s="115"/>
      <c r="F977" s="60"/>
      <c r="G977" s="373"/>
      <c r="H977" s="60"/>
      <c r="I977" s="60"/>
      <c r="J977" s="60"/>
      <c r="K977" s="115"/>
    </row>
    <row r="978" spans="1:11" ht="12.75">
      <c r="A978" s="372"/>
      <c r="B978" s="372"/>
      <c r="C978" s="115"/>
      <c r="D978" s="115"/>
      <c r="E978" s="115"/>
      <c r="F978" s="60"/>
      <c r="G978" s="373"/>
      <c r="H978" s="60"/>
      <c r="I978" s="60"/>
      <c r="J978" s="60"/>
      <c r="K978" s="115"/>
    </row>
    <row r="979" spans="1:11" ht="12.75">
      <c r="A979" s="372"/>
      <c r="B979" s="372"/>
      <c r="C979" s="115"/>
      <c r="D979" s="115"/>
      <c r="E979" s="115"/>
      <c r="F979" s="60"/>
      <c r="G979" s="373"/>
      <c r="H979" s="60"/>
      <c r="I979" s="60"/>
      <c r="J979" s="60"/>
      <c r="K979" s="115"/>
    </row>
    <row r="980" spans="1:11" ht="12.75">
      <c r="A980" s="372"/>
      <c r="B980" s="372"/>
      <c r="C980" s="115"/>
      <c r="D980" s="115"/>
      <c r="E980" s="115"/>
      <c r="F980" s="60"/>
      <c r="G980" s="373"/>
      <c r="H980" s="60"/>
      <c r="I980" s="60"/>
      <c r="J980" s="60"/>
      <c r="K980" s="115"/>
    </row>
    <row r="981" spans="1:11" ht="12.75">
      <c r="A981" s="372"/>
      <c r="B981" s="372"/>
      <c r="C981" s="115"/>
      <c r="D981" s="115"/>
      <c r="E981" s="115"/>
      <c r="F981" s="60"/>
      <c r="G981" s="373"/>
      <c r="H981" s="60"/>
      <c r="I981" s="60"/>
      <c r="J981" s="60"/>
      <c r="K981" s="115"/>
    </row>
    <row r="982" spans="1:11" ht="12.75">
      <c r="A982" s="372"/>
      <c r="B982" s="372"/>
      <c r="C982" s="115"/>
      <c r="D982" s="115"/>
      <c r="E982" s="115"/>
      <c r="F982" s="60"/>
      <c r="G982" s="373"/>
      <c r="H982" s="60"/>
      <c r="I982" s="60"/>
      <c r="J982" s="60"/>
      <c r="K982" s="115"/>
    </row>
    <row r="983" spans="1:11" ht="12.75">
      <c r="A983" s="372"/>
      <c r="B983" s="372"/>
      <c r="C983" s="115"/>
      <c r="D983" s="115"/>
      <c r="E983" s="115"/>
      <c r="F983" s="60"/>
      <c r="G983" s="373"/>
      <c r="H983" s="60"/>
      <c r="I983" s="60"/>
      <c r="J983" s="60"/>
      <c r="K983" s="115"/>
    </row>
    <row r="984" spans="1:11" ht="12.75">
      <c r="A984" s="372"/>
      <c r="B984" s="372"/>
      <c r="C984" s="115"/>
      <c r="D984" s="115"/>
      <c r="E984" s="115"/>
      <c r="F984" s="60"/>
      <c r="G984" s="373"/>
      <c r="H984" s="60"/>
      <c r="I984" s="60"/>
      <c r="J984" s="60"/>
      <c r="K984" s="115"/>
    </row>
    <row r="985" spans="1:11" ht="12.75">
      <c r="A985" s="372"/>
      <c r="B985" s="372"/>
      <c r="C985" s="115"/>
      <c r="D985" s="115"/>
      <c r="E985" s="115"/>
      <c r="F985" s="60"/>
      <c r="G985" s="373"/>
      <c r="H985" s="60"/>
      <c r="I985" s="60"/>
      <c r="J985" s="60"/>
      <c r="K985" s="115"/>
    </row>
    <row r="986" spans="1:11" ht="12.75">
      <c r="A986" s="372"/>
      <c r="B986" s="372"/>
      <c r="C986" s="115"/>
      <c r="D986" s="115"/>
      <c r="E986" s="115"/>
      <c r="F986" s="60"/>
      <c r="G986" s="373"/>
      <c r="H986" s="60"/>
      <c r="I986" s="60"/>
      <c r="J986" s="60"/>
      <c r="K986" s="115"/>
    </row>
    <row r="987" spans="1:11" ht="12.75">
      <c r="A987" s="372"/>
      <c r="B987" s="372"/>
      <c r="C987" s="115"/>
      <c r="D987" s="115"/>
      <c r="E987" s="115"/>
      <c r="F987" s="60"/>
      <c r="G987" s="373"/>
      <c r="H987" s="60"/>
      <c r="I987" s="60"/>
      <c r="J987" s="60"/>
      <c r="K987" s="115"/>
    </row>
    <row r="988" spans="1:11" ht="12.75">
      <c r="A988" s="372"/>
      <c r="B988" s="372"/>
      <c r="C988" s="115"/>
      <c r="D988" s="115"/>
      <c r="E988" s="115"/>
      <c r="F988" s="60"/>
      <c r="G988" s="373"/>
      <c r="H988" s="60"/>
      <c r="I988" s="60"/>
      <c r="J988" s="60"/>
      <c r="K988" s="115"/>
    </row>
    <row r="989" spans="1:11" ht="12.75">
      <c r="A989" s="372"/>
      <c r="B989" s="372"/>
      <c r="C989" s="115"/>
      <c r="D989" s="115"/>
      <c r="E989" s="115"/>
      <c r="F989" s="60"/>
      <c r="G989" s="373"/>
      <c r="H989" s="60"/>
      <c r="I989" s="60"/>
      <c r="J989" s="60"/>
      <c r="K989" s="115"/>
    </row>
    <row r="990" spans="1:11" ht="12.75">
      <c r="A990" s="372"/>
      <c r="B990" s="372"/>
      <c r="C990" s="115"/>
      <c r="D990" s="115"/>
      <c r="E990" s="115"/>
      <c r="F990" s="60"/>
      <c r="G990" s="373"/>
      <c r="H990" s="60"/>
      <c r="I990" s="60"/>
      <c r="J990" s="60"/>
      <c r="K990" s="115"/>
    </row>
    <row r="991" spans="1:11" ht="12.75">
      <c r="A991" s="372"/>
      <c r="B991" s="372"/>
      <c r="C991" s="115"/>
      <c r="D991" s="115"/>
      <c r="E991" s="115"/>
      <c r="F991" s="60"/>
      <c r="G991" s="373"/>
      <c r="H991" s="60"/>
      <c r="I991" s="60"/>
      <c r="J991" s="60"/>
      <c r="K991" s="115"/>
    </row>
    <row r="992" spans="1:11" ht="12.75">
      <c r="A992" s="372"/>
      <c r="B992" s="372"/>
      <c r="C992" s="115"/>
      <c r="D992" s="115"/>
      <c r="E992" s="115"/>
      <c r="F992" s="60"/>
      <c r="G992" s="373"/>
      <c r="H992" s="60"/>
      <c r="I992" s="60"/>
      <c r="J992" s="60"/>
      <c r="K992" s="115"/>
    </row>
    <row r="993" spans="1:11" ht="12.75">
      <c r="A993" s="372"/>
      <c r="B993" s="372"/>
      <c r="C993" s="115"/>
      <c r="D993" s="115"/>
      <c r="E993" s="115"/>
      <c r="F993" s="60"/>
      <c r="G993" s="373"/>
      <c r="H993" s="60"/>
      <c r="I993" s="60"/>
      <c r="J993" s="60"/>
      <c r="K993" s="115"/>
    </row>
    <row r="994" spans="1:11" ht="12.75">
      <c r="A994" s="372"/>
      <c r="B994" s="372"/>
      <c r="C994" s="115"/>
      <c r="D994" s="115"/>
      <c r="E994" s="115"/>
      <c r="F994" s="60"/>
      <c r="G994" s="373"/>
      <c r="H994" s="60"/>
      <c r="I994" s="60"/>
      <c r="J994" s="60"/>
      <c r="K994" s="115"/>
    </row>
    <row r="995" spans="1:11" ht="12.75">
      <c r="A995" s="372"/>
      <c r="B995" s="372"/>
      <c r="C995" s="115"/>
      <c r="D995" s="115"/>
      <c r="E995" s="115"/>
      <c r="F995" s="60"/>
      <c r="G995" s="373"/>
      <c r="H995" s="60"/>
      <c r="I995" s="60"/>
      <c r="J995" s="60"/>
      <c r="K995" s="115"/>
    </row>
    <row r="996" spans="1:11" ht="12.75">
      <c r="A996" s="372"/>
      <c r="B996" s="372"/>
      <c r="C996" s="115"/>
      <c r="D996" s="115"/>
      <c r="E996" s="115"/>
      <c r="F996" s="60"/>
      <c r="G996" s="373"/>
      <c r="H996" s="60"/>
      <c r="I996" s="60"/>
      <c r="J996" s="60"/>
      <c r="K996" s="115"/>
    </row>
  </sheetData>
  <mergeCells count="1">
    <mergeCell ref="A1:K1"/>
  </mergeCells>
  <conditionalFormatting sqref="G2:G996">
    <cfRule type="cellIs" dxfId="7" priority="1" operator="equal">
      <formula>0</formula>
    </cfRule>
  </conditionalFormatting>
  <conditionalFormatting sqref="H2:J996 K32:K33">
    <cfRule type="cellIs" dxfId="6" priority="2" operator="equal">
      <formula>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000"/>
  <sheetViews>
    <sheetView workbookViewId="0"/>
  </sheetViews>
  <sheetFormatPr baseColWidth="10" defaultColWidth="12.5703125" defaultRowHeight="15.75" customHeight="1"/>
  <cols>
    <col min="1" max="1" width="2.28515625" customWidth="1"/>
    <col min="2" max="2" width="18.7109375" customWidth="1"/>
    <col min="3" max="3" width="17.42578125" customWidth="1"/>
    <col min="4" max="4" width="12" customWidth="1"/>
    <col min="5" max="5" width="6.140625" customWidth="1"/>
    <col min="6" max="6" width="13.140625" customWidth="1"/>
    <col min="7" max="7" width="6.5703125" customWidth="1"/>
    <col min="8" max="8" width="13.140625" customWidth="1"/>
    <col min="9" max="9" width="6.5703125" customWidth="1"/>
    <col min="10" max="10" width="3.28515625" customWidth="1"/>
    <col min="11" max="11" width="9" customWidth="1"/>
    <col min="12" max="12" width="7.5703125" customWidth="1"/>
    <col min="13" max="13" width="9.5703125" customWidth="1"/>
    <col min="14" max="14" width="8.42578125" customWidth="1"/>
    <col min="15" max="15" width="11.28515625" customWidth="1"/>
    <col min="16" max="16" width="5.7109375" customWidth="1"/>
    <col min="17" max="17" width="10.85546875" customWidth="1"/>
    <col min="18" max="18" width="6.5703125" customWidth="1"/>
    <col min="19" max="19" width="31.42578125" customWidth="1"/>
    <col min="20" max="20" width="11.140625" customWidth="1"/>
    <col min="21" max="21" width="5.7109375" customWidth="1"/>
    <col min="22" max="22" width="11.140625" customWidth="1"/>
    <col min="23" max="23" width="6.5703125" customWidth="1"/>
    <col min="24" max="28" width="10" customWidth="1"/>
  </cols>
  <sheetData>
    <row r="1" spans="1:23" ht="12.75" customHeight="1">
      <c r="A1" s="505" t="s">
        <v>501</v>
      </c>
      <c r="B1" s="458"/>
      <c r="C1" s="458"/>
      <c r="D1" s="458"/>
      <c r="E1" s="458"/>
      <c r="F1" s="458"/>
      <c r="G1" s="459"/>
      <c r="J1" s="376"/>
      <c r="K1" s="505" t="str">
        <f>+A1</f>
        <v>CONSTRUCTORA MODELO SAC</v>
      </c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9"/>
    </row>
    <row r="2" spans="1:23" ht="12.75" customHeight="1">
      <c r="A2" s="506" t="s">
        <v>502</v>
      </c>
      <c r="B2" s="456"/>
      <c r="C2" s="456"/>
      <c r="D2" s="456"/>
      <c r="E2" s="456"/>
      <c r="F2" s="456"/>
      <c r="G2" s="377"/>
      <c r="I2" s="377"/>
      <c r="J2" s="378"/>
      <c r="K2" s="506" t="s">
        <v>503</v>
      </c>
      <c r="L2" s="456"/>
      <c r="M2" s="456"/>
      <c r="N2" s="456"/>
      <c r="O2" s="456"/>
      <c r="P2" s="456"/>
      <c r="Q2" s="456"/>
      <c r="R2" s="456"/>
      <c r="S2" s="456"/>
      <c r="T2" s="456"/>
      <c r="U2" s="456"/>
      <c r="V2" s="456"/>
      <c r="W2" s="66"/>
    </row>
    <row r="3" spans="1:23" ht="12.75" customHeight="1">
      <c r="A3" s="507" t="s">
        <v>504</v>
      </c>
      <c r="B3" s="456"/>
      <c r="C3" s="456"/>
      <c r="D3" s="456"/>
      <c r="E3" s="456"/>
      <c r="F3" s="456"/>
      <c r="G3" s="377"/>
      <c r="I3" s="377"/>
      <c r="J3" s="378"/>
      <c r="K3" s="508" t="str">
        <f>+A3</f>
        <v>Al 31 de Diciembre del 2010 y 2011</v>
      </c>
      <c r="L3" s="456"/>
      <c r="M3" s="456"/>
      <c r="N3" s="456"/>
      <c r="O3" s="456"/>
      <c r="P3" s="456"/>
      <c r="Q3" s="456"/>
      <c r="R3" s="456"/>
      <c r="S3" s="456"/>
      <c r="T3" s="456"/>
      <c r="U3" s="456"/>
      <c r="V3" s="456"/>
      <c r="W3" s="66"/>
    </row>
    <row r="4" spans="1:23" ht="13.5" customHeight="1">
      <c r="A4" s="508" t="s">
        <v>505</v>
      </c>
      <c r="B4" s="456"/>
      <c r="C4" s="456"/>
      <c r="D4" s="456"/>
      <c r="E4" s="456"/>
      <c r="F4" s="456"/>
      <c r="G4" s="377"/>
      <c r="I4" s="377"/>
      <c r="J4" s="378"/>
      <c r="K4" s="509" t="s">
        <v>505</v>
      </c>
      <c r="L4" s="486"/>
      <c r="M4" s="486"/>
      <c r="N4" s="486"/>
      <c r="O4" s="486"/>
      <c r="P4" s="486"/>
      <c r="Q4" s="486"/>
      <c r="R4" s="486"/>
      <c r="S4" s="486"/>
      <c r="T4" s="486"/>
      <c r="U4" s="486"/>
      <c r="V4" s="486"/>
      <c r="W4" s="379"/>
    </row>
    <row r="5" spans="1:23" ht="13.5" customHeight="1">
      <c r="A5" s="380"/>
      <c r="B5" s="380"/>
      <c r="C5" s="380"/>
      <c r="D5" s="514" t="s">
        <v>31</v>
      </c>
      <c r="E5" s="513"/>
      <c r="F5" s="512" t="s">
        <v>31</v>
      </c>
      <c r="G5" s="513"/>
      <c r="H5" s="512" t="s">
        <v>31</v>
      </c>
      <c r="I5" s="513"/>
      <c r="J5" s="381"/>
      <c r="K5" s="515" t="s">
        <v>506</v>
      </c>
      <c r="L5" s="516"/>
      <c r="M5" s="516"/>
      <c r="N5" s="516"/>
      <c r="O5" s="510" t="s">
        <v>31</v>
      </c>
      <c r="P5" s="511"/>
      <c r="Q5" s="512" t="s">
        <v>31</v>
      </c>
      <c r="R5" s="513"/>
      <c r="S5" s="383" t="s">
        <v>507</v>
      </c>
      <c r="T5" s="510" t="s">
        <v>31</v>
      </c>
      <c r="U5" s="511"/>
      <c r="V5" s="512" t="s">
        <v>31</v>
      </c>
      <c r="W5" s="513"/>
    </row>
    <row r="6" spans="1:23" ht="12.75" customHeight="1">
      <c r="A6" s="384"/>
      <c r="B6" s="384"/>
      <c r="C6" s="384"/>
      <c r="D6" s="385" t="s">
        <v>30</v>
      </c>
      <c r="E6" s="386" t="s">
        <v>51</v>
      </c>
      <c r="F6" s="387" t="s">
        <v>19</v>
      </c>
      <c r="G6" s="388" t="s">
        <v>51</v>
      </c>
      <c r="H6" s="387" t="s">
        <v>20</v>
      </c>
      <c r="I6" s="388" t="s">
        <v>51</v>
      </c>
      <c r="J6" s="381"/>
      <c r="K6" s="389"/>
      <c r="L6" s="389"/>
      <c r="M6" s="389"/>
      <c r="N6" s="389"/>
      <c r="O6" s="385" t="str">
        <f>+D6</f>
        <v>ABRIL</v>
      </c>
      <c r="P6" s="386" t="s">
        <v>51</v>
      </c>
      <c r="Q6" s="390" t="str">
        <f>+F6</f>
        <v>MAYO</v>
      </c>
      <c r="R6" s="391" t="s">
        <v>51</v>
      </c>
      <c r="S6" s="392"/>
      <c r="T6" s="385" t="str">
        <f>+O6</f>
        <v>ABRIL</v>
      </c>
      <c r="U6" s="393" t="s">
        <v>51</v>
      </c>
      <c r="V6" s="394" t="str">
        <f>+Q6</f>
        <v>MAYO</v>
      </c>
      <c r="W6" s="388" t="s">
        <v>51</v>
      </c>
    </row>
    <row r="7" spans="1:23" ht="12.75" customHeight="1">
      <c r="A7" s="503" t="s">
        <v>508</v>
      </c>
      <c r="B7" s="504"/>
      <c r="C7" s="504"/>
      <c r="D7" s="396" t="e">
        <f>#REF!</f>
        <v>#REF!</v>
      </c>
      <c r="F7" s="397">
        <v>0</v>
      </c>
      <c r="G7" s="66"/>
      <c r="H7" s="397">
        <v>0</v>
      </c>
      <c r="I7" s="66"/>
      <c r="J7" s="376"/>
      <c r="K7" s="517" t="s">
        <v>509</v>
      </c>
      <c r="L7" s="504"/>
      <c r="M7" s="504"/>
      <c r="N7" s="504"/>
      <c r="O7" s="398"/>
      <c r="Q7" s="399"/>
      <c r="R7" s="66"/>
      <c r="S7" s="400" t="s">
        <v>510</v>
      </c>
      <c r="T7" s="398"/>
      <c r="U7" s="401"/>
      <c r="V7" s="402"/>
      <c r="W7" s="66"/>
    </row>
    <row r="8" spans="1:23" ht="12.75" customHeight="1">
      <c r="A8" s="502" t="s">
        <v>511</v>
      </c>
      <c r="B8" s="456"/>
      <c r="C8" s="456"/>
      <c r="D8" s="396" t="e">
        <f>#REF!+#REF!</f>
        <v>#REF!</v>
      </c>
      <c r="E8" s="66"/>
      <c r="F8" s="397">
        <v>0</v>
      </c>
      <c r="G8" s="66"/>
      <c r="H8" s="397">
        <v>0</v>
      </c>
      <c r="I8" s="66"/>
      <c r="J8" s="376"/>
      <c r="K8" s="502" t="s">
        <v>512</v>
      </c>
      <c r="L8" s="456"/>
      <c r="M8" s="456"/>
      <c r="N8" s="456"/>
      <c r="O8" s="396">
        <f>'RESUMEN CIERRE'!L25</f>
        <v>-314675.21999999997</v>
      </c>
      <c r="P8" s="404">
        <f t="shared" ref="P8:P17" si="0">O8/O$37*100</f>
        <v>-161.55453888488088</v>
      </c>
      <c r="Q8" s="405">
        <v>0</v>
      </c>
      <c r="R8" s="406" t="e">
        <f t="shared" ref="R8:R20" si="1">Q8/Q$37*100</f>
        <v>#DIV/0!</v>
      </c>
      <c r="S8" s="407" t="s">
        <v>513</v>
      </c>
      <c r="T8" s="396">
        <v>0</v>
      </c>
      <c r="U8" s="408">
        <f t="shared" ref="U8:U14" si="2">T8/T$37*100</f>
        <v>0</v>
      </c>
      <c r="V8" s="409">
        <v>0</v>
      </c>
      <c r="W8" s="406" t="e">
        <f t="shared" ref="W8:W14" si="3">V8/V$37*100</f>
        <v>#DIV/0!</v>
      </c>
    </row>
    <row r="9" spans="1:23" ht="12.75" customHeight="1">
      <c r="B9" s="518" t="s">
        <v>514</v>
      </c>
      <c r="C9" s="456"/>
      <c r="D9" s="396">
        <v>0</v>
      </c>
      <c r="E9" s="66"/>
      <c r="F9" s="397">
        <v>0</v>
      </c>
      <c r="G9" s="66"/>
      <c r="H9" s="397">
        <v>0</v>
      </c>
      <c r="I9" s="66"/>
      <c r="J9" s="376"/>
      <c r="K9" s="502" t="s">
        <v>515</v>
      </c>
      <c r="L9" s="456"/>
      <c r="M9" s="456"/>
      <c r="N9" s="456"/>
      <c r="O9" s="396">
        <f>'RESUMEN CIERRE'!M43</f>
        <v>-69498.64</v>
      </c>
      <c r="P9" s="404">
        <f t="shared" si="0"/>
        <v>-35.680663823247151</v>
      </c>
      <c r="Q9" s="405">
        <v>0</v>
      </c>
      <c r="R9" s="406" t="e">
        <f t="shared" si="1"/>
        <v>#DIV/0!</v>
      </c>
      <c r="S9" s="407" t="s">
        <v>516</v>
      </c>
      <c r="T9" s="396">
        <v>0</v>
      </c>
      <c r="U9" s="408">
        <f t="shared" si="2"/>
        <v>0</v>
      </c>
      <c r="V9" s="409">
        <v>0</v>
      </c>
      <c r="W9" s="406" t="e">
        <f t="shared" si="3"/>
        <v>#DIV/0!</v>
      </c>
    </row>
    <row r="10" spans="1:23" ht="12.75" customHeight="1">
      <c r="A10" s="410"/>
      <c r="B10" s="410"/>
      <c r="C10" s="410"/>
      <c r="D10" s="411"/>
      <c r="E10" s="410"/>
      <c r="F10" s="412"/>
      <c r="G10" s="410"/>
      <c r="H10" s="412"/>
      <c r="I10" s="410"/>
      <c r="J10" s="376"/>
      <c r="K10" s="502" t="s">
        <v>517</v>
      </c>
      <c r="L10" s="456"/>
      <c r="M10" s="456"/>
      <c r="N10" s="456"/>
      <c r="O10" s="396">
        <f>'RESUMEN CIERRE'!P61</f>
        <v>-269346.57999999996</v>
      </c>
      <c r="P10" s="404">
        <f t="shared" si="0"/>
        <v>-138.28277464021372</v>
      </c>
      <c r="Q10" s="405">
        <v>0</v>
      </c>
      <c r="R10" s="406" t="e">
        <f t="shared" si="1"/>
        <v>#DIV/0!</v>
      </c>
      <c r="S10" s="407" t="s">
        <v>518</v>
      </c>
      <c r="T10" s="396">
        <f>'RESUMEN CIERRE'!O79</f>
        <v>610968.5</v>
      </c>
      <c r="U10" s="408">
        <f t="shared" si="2"/>
        <v>100</v>
      </c>
      <c r="V10" s="409">
        <v>0</v>
      </c>
      <c r="W10" s="406" t="e">
        <f t="shared" si="3"/>
        <v>#DIV/0!</v>
      </c>
    </row>
    <row r="11" spans="1:23" ht="12.75" customHeight="1">
      <c r="A11" s="503" t="s">
        <v>519</v>
      </c>
      <c r="B11" s="504"/>
      <c r="C11" s="504"/>
      <c r="D11" s="396" t="e">
        <f>D7+D8+D9</f>
        <v>#REF!</v>
      </c>
      <c r="E11" s="404">
        <v>100</v>
      </c>
      <c r="F11" s="397">
        <f>F7+F8+F9</f>
        <v>0</v>
      </c>
      <c r="G11" s="406">
        <v>100</v>
      </c>
      <c r="H11" s="397">
        <f>H7+H8+H9</f>
        <v>0</v>
      </c>
      <c r="I11" s="406">
        <v>100</v>
      </c>
      <c r="J11" s="413"/>
      <c r="K11" s="502" t="s">
        <v>520</v>
      </c>
      <c r="L11" s="456"/>
      <c r="M11" s="456"/>
      <c r="N11" s="456"/>
      <c r="O11" s="396">
        <v>0</v>
      </c>
      <c r="P11" s="404">
        <f t="shared" si="0"/>
        <v>0</v>
      </c>
      <c r="Q11" s="405">
        <v>0</v>
      </c>
      <c r="R11" s="406" t="e">
        <f t="shared" si="1"/>
        <v>#DIV/0!</v>
      </c>
      <c r="S11" s="407" t="s">
        <v>521</v>
      </c>
      <c r="T11" s="396">
        <v>0</v>
      </c>
      <c r="U11" s="408">
        <f t="shared" si="2"/>
        <v>0</v>
      </c>
      <c r="V11" s="409">
        <v>0</v>
      </c>
      <c r="W11" s="406" t="e">
        <f t="shared" si="3"/>
        <v>#DIV/0!</v>
      </c>
    </row>
    <row r="12" spans="1:23" ht="12.75" customHeight="1">
      <c r="D12" s="396"/>
      <c r="E12" s="404"/>
      <c r="F12" s="397"/>
      <c r="G12" s="406"/>
      <c r="H12" s="397"/>
      <c r="I12" s="406"/>
      <c r="J12" s="413"/>
      <c r="K12" s="502" t="s">
        <v>522</v>
      </c>
      <c r="L12" s="456"/>
      <c r="M12" s="456"/>
      <c r="N12" s="456"/>
      <c r="O12" s="396">
        <v>0</v>
      </c>
      <c r="P12" s="404">
        <f t="shared" si="0"/>
        <v>0</v>
      </c>
      <c r="Q12" s="405">
        <v>0</v>
      </c>
      <c r="R12" s="406" t="e">
        <f t="shared" si="1"/>
        <v>#DIV/0!</v>
      </c>
      <c r="S12" s="407" t="s">
        <v>523</v>
      </c>
      <c r="T12" s="396">
        <v>0</v>
      </c>
      <c r="U12" s="408">
        <f t="shared" si="2"/>
        <v>0</v>
      </c>
      <c r="V12" s="409">
        <v>0</v>
      </c>
      <c r="W12" s="406" t="e">
        <f t="shared" si="3"/>
        <v>#DIV/0!</v>
      </c>
    </row>
    <row r="13" spans="1:23" ht="12.75" customHeight="1">
      <c r="B13" s="502" t="s">
        <v>524</v>
      </c>
      <c r="C13" s="456"/>
      <c r="D13" s="396">
        <f>INVENTARIO!J28</f>
        <v>442188.26039999997</v>
      </c>
      <c r="E13" s="404" t="e">
        <f t="shared" ref="E13:E14" si="4">-D13/D$11*100</f>
        <v>#REF!</v>
      </c>
      <c r="F13" s="397">
        <v>0</v>
      </c>
      <c r="G13" s="406">
        <v>0</v>
      </c>
      <c r="H13" s="397">
        <v>0</v>
      </c>
      <c r="I13" s="406">
        <v>0</v>
      </c>
      <c r="J13" s="413"/>
      <c r="K13" s="502" t="s">
        <v>525</v>
      </c>
      <c r="L13" s="456"/>
      <c r="M13" s="456"/>
      <c r="N13" s="456"/>
      <c r="O13" s="396">
        <v>848300</v>
      </c>
      <c r="P13" s="404">
        <f t="shared" si="0"/>
        <v>435.51797734834173</v>
      </c>
      <c r="Q13" s="405">
        <v>0</v>
      </c>
      <c r="R13" s="406" t="e">
        <f t="shared" si="1"/>
        <v>#DIV/0!</v>
      </c>
      <c r="S13" s="407" t="s">
        <v>526</v>
      </c>
      <c r="T13" s="396">
        <v>0</v>
      </c>
      <c r="U13" s="408">
        <f t="shared" si="2"/>
        <v>0</v>
      </c>
      <c r="V13" s="409">
        <v>0</v>
      </c>
      <c r="W13" s="406" t="e">
        <f t="shared" si="3"/>
        <v>#DIV/0!</v>
      </c>
    </row>
    <row r="14" spans="1:23" ht="12.75" customHeight="1">
      <c r="B14" s="502" t="s">
        <v>527</v>
      </c>
      <c r="C14" s="456"/>
      <c r="D14" s="396" t="e">
        <f>#REF!+#REF!</f>
        <v>#REF!</v>
      </c>
      <c r="E14" s="404" t="e">
        <f t="shared" si="4"/>
        <v>#REF!</v>
      </c>
      <c r="F14" s="397">
        <v>0</v>
      </c>
      <c r="G14" s="406" t="e">
        <f>-F14/F$11*100</f>
        <v>#DIV/0!</v>
      </c>
      <c r="H14" s="397">
        <v>0</v>
      </c>
      <c r="I14" s="406" t="e">
        <f>-H14/H$11*100</f>
        <v>#DIV/0!</v>
      </c>
      <c r="J14" s="413"/>
      <c r="K14" s="502" t="s">
        <v>528</v>
      </c>
      <c r="L14" s="456"/>
      <c r="M14" s="456"/>
      <c r="N14" s="456"/>
      <c r="O14" s="396">
        <v>0</v>
      </c>
      <c r="P14" s="404">
        <f t="shared" si="0"/>
        <v>0</v>
      </c>
      <c r="Q14" s="405">
        <v>0</v>
      </c>
      <c r="R14" s="406" t="e">
        <f t="shared" si="1"/>
        <v>#DIV/0!</v>
      </c>
      <c r="S14" s="407" t="s">
        <v>529</v>
      </c>
      <c r="T14" s="396">
        <v>0</v>
      </c>
      <c r="U14" s="408">
        <f t="shared" si="2"/>
        <v>0</v>
      </c>
      <c r="V14" s="409">
        <v>0</v>
      </c>
      <c r="W14" s="406" t="e">
        <f t="shared" si="3"/>
        <v>#DIV/0!</v>
      </c>
    </row>
    <row r="15" spans="1:23" ht="12.75" customHeight="1">
      <c r="A15" s="66"/>
      <c r="B15" s="502" t="s">
        <v>530</v>
      </c>
      <c r="C15" s="456"/>
      <c r="D15" s="396">
        <v>848300.72</v>
      </c>
      <c r="E15" s="404">
        <v>0</v>
      </c>
      <c r="F15" s="397">
        <v>0</v>
      </c>
      <c r="G15" s="406">
        <v>0</v>
      </c>
      <c r="H15" s="397">
        <v>0</v>
      </c>
      <c r="I15" s="406">
        <v>0</v>
      </c>
      <c r="J15" s="413"/>
      <c r="K15" s="502" t="s">
        <v>531</v>
      </c>
      <c r="L15" s="456"/>
      <c r="M15" s="456"/>
      <c r="N15" s="456"/>
      <c r="O15" s="396">
        <v>0</v>
      </c>
      <c r="P15" s="404">
        <f t="shared" si="0"/>
        <v>0</v>
      </c>
      <c r="Q15" s="405">
        <v>0</v>
      </c>
      <c r="R15" s="406" t="e">
        <f t="shared" si="1"/>
        <v>#DIV/0!</v>
      </c>
      <c r="S15" s="407"/>
      <c r="T15" s="396"/>
      <c r="U15" s="408"/>
      <c r="V15" s="409"/>
      <c r="W15" s="406"/>
    </row>
    <row r="16" spans="1:23" ht="12.75" customHeight="1">
      <c r="A16" s="410"/>
      <c r="B16" s="410"/>
      <c r="C16" s="410"/>
      <c r="D16" s="411"/>
      <c r="E16" s="410"/>
      <c r="F16" s="414"/>
      <c r="G16" s="410"/>
      <c r="H16" s="414"/>
      <c r="I16" s="410"/>
      <c r="J16" s="376"/>
      <c r="K16" s="502" t="s">
        <v>532</v>
      </c>
      <c r="L16" s="456"/>
      <c r="M16" s="456"/>
      <c r="N16" s="456"/>
      <c r="O16" s="396">
        <v>0</v>
      </c>
      <c r="P16" s="404">
        <f t="shared" si="0"/>
        <v>0</v>
      </c>
      <c r="Q16" s="405">
        <v>0</v>
      </c>
      <c r="R16" s="406" t="e">
        <f t="shared" si="1"/>
        <v>#DIV/0!</v>
      </c>
      <c r="S16" s="415"/>
      <c r="T16" s="398"/>
      <c r="V16" s="399"/>
      <c r="W16" s="66"/>
    </row>
    <row r="17" spans="1:23" ht="12.75" customHeight="1">
      <c r="A17" s="503" t="s">
        <v>533</v>
      </c>
      <c r="B17" s="504"/>
      <c r="C17" s="504"/>
      <c r="D17" s="396" t="e">
        <f>D13+D14+D15</f>
        <v>#REF!</v>
      </c>
      <c r="E17" s="406" t="e">
        <f>-D17/D$11*100</f>
        <v>#REF!</v>
      </c>
      <c r="F17" s="416">
        <v>0</v>
      </c>
      <c r="G17" s="406" t="e">
        <f>-F17/F$11*100</f>
        <v>#DIV/0!</v>
      </c>
      <c r="H17" s="416">
        <v>0</v>
      </c>
      <c r="I17" s="406" t="e">
        <f>-H17/H$11*100</f>
        <v>#DIV/0!</v>
      </c>
      <c r="J17" s="413"/>
      <c r="K17" s="502" t="s">
        <v>534</v>
      </c>
      <c r="L17" s="456"/>
      <c r="M17" s="456"/>
      <c r="N17" s="456"/>
      <c r="O17" s="396">
        <v>0</v>
      </c>
      <c r="P17" s="404">
        <f t="shared" si="0"/>
        <v>0</v>
      </c>
      <c r="Q17" s="405">
        <v>0</v>
      </c>
      <c r="R17" s="406" t="e">
        <f t="shared" si="1"/>
        <v>#DIV/0!</v>
      </c>
      <c r="S17" s="415"/>
      <c r="T17" s="398"/>
      <c r="V17" s="399"/>
      <c r="W17" s="66"/>
    </row>
    <row r="18" spans="1:23" ht="13.5" customHeight="1">
      <c r="D18" s="398"/>
      <c r="F18" s="417"/>
      <c r="G18" s="66"/>
      <c r="H18" s="417"/>
      <c r="I18" s="66"/>
      <c r="J18" s="376"/>
      <c r="K18" s="502" t="s">
        <v>535</v>
      </c>
      <c r="L18" s="456"/>
      <c r="M18" s="456"/>
      <c r="N18" s="456"/>
      <c r="O18" s="396">
        <v>0</v>
      </c>
      <c r="P18" s="404">
        <f>O17/O$37*100</f>
        <v>0</v>
      </c>
      <c r="Q18" s="405">
        <v>0</v>
      </c>
      <c r="R18" s="418" t="e">
        <f t="shared" si="1"/>
        <v>#DIV/0!</v>
      </c>
      <c r="T18" s="398"/>
      <c r="V18" s="399"/>
      <c r="W18" s="66"/>
    </row>
    <row r="19" spans="1:23" ht="13.5" customHeight="1">
      <c r="A19" s="382" t="s">
        <v>536</v>
      </c>
      <c r="B19" s="382"/>
      <c r="C19" s="382"/>
      <c r="D19" s="419" t="e">
        <f>D11+D17</f>
        <v>#REF!</v>
      </c>
      <c r="E19" s="420" t="e">
        <f>D19/D$11*100</f>
        <v>#REF!</v>
      </c>
      <c r="F19" s="421">
        <f>F11+F17</f>
        <v>0</v>
      </c>
      <c r="G19" s="422" t="e">
        <f>F19/F$11*100</f>
        <v>#DIV/0!</v>
      </c>
      <c r="H19" s="421">
        <f>H11+H17</f>
        <v>0</v>
      </c>
      <c r="I19" s="422" t="e">
        <f>H19/H$11*100</f>
        <v>#DIV/0!</v>
      </c>
      <c r="J19" s="413"/>
      <c r="K19" s="502" t="s">
        <v>537</v>
      </c>
      <c r="L19" s="456"/>
      <c r="M19" s="456"/>
      <c r="N19" s="456"/>
      <c r="O19" s="396">
        <v>0</v>
      </c>
      <c r="P19" s="404">
        <f t="shared" ref="P19:P20" si="5">O19/O$37*100</f>
        <v>0</v>
      </c>
      <c r="Q19" s="405">
        <v>0</v>
      </c>
      <c r="R19" s="406" t="e">
        <f t="shared" si="1"/>
        <v>#DIV/0!</v>
      </c>
      <c r="S19" s="423"/>
      <c r="T19" s="398"/>
      <c r="V19" s="399"/>
      <c r="W19" s="66"/>
    </row>
    <row r="20" spans="1:23" ht="13.5" customHeight="1">
      <c r="D20" s="398"/>
      <c r="F20" s="424"/>
      <c r="G20" s="66"/>
      <c r="H20" s="424"/>
      <c r="I20" s="66"/>
      <c r="J20" s="376"/>
      <c r="K20" s="515" t="s">
        <v>538</v>
      </c>
      <c r="L20" s="516"/>
      <c r="M20" s="516"/>
      <c r="N20" s="516"/>
      <c r="O20" s="419">
        <f>SUM(O8:O19)</f>
        <v>194779.56000000006</v>
      </c>
      <c r="P20" s="420">
        <f t="shared" si="5"/>
        <v>100</v>
      </c>
      <c r="Q20" s="425">
        <f>SUM(Q8:Q19)</f>
        <v>0</v>
      </c>
      <c r="R20" s="422" t="e">
        <f t="shared" si="1"/>
        <v>#DIV/0!</v>
      </c>
      <c r="S20" s="383" t="s">
        <v>539</v>
      </c>
      <c r="T20" s="419">
        <f>SUM(T8:T16)</f>
        <v>610968.5</v>
      </c>
      <c r="U20" s="426">
        <f>T20/T$37*100</f>
        <v>100</v>
      </c>
      <c r="V20" s="427">
        <f>SUM(V8:V16)</f>
        <v>0</v>
      </c>
      <c r="W20" s="422" t="e">
        <f>V20/V$37*100</f>
        <v>#DIV/0!</v>
      </c>
    </row>
    <row r="21" spans="1:23" ht="12.75" customHeight="1">
      <c r="B21" s="502" t="s">
        <v>540</v>
      </c>
      <c r="C21" s="456"/>
      <c r="D21" s="396" t="e">
        <f>#REF!+#REF!</f>
        <v>#REF!</v>
      </c>
      <c r="E21" s="404" t="e">
        <f t="shared" ref="E21:E22" si="6">-D21/D$11*100</f>
        <v>#REF!</v>
      </c>
      <c r="F21" s="397">
        <v>0</v>
      </c>
      <c r="G21" s="406" t="e">
        <f t="shared" ref="G21:G22" si="7">-F21/F$11*100</f>
        <v>#DIV/0!</v>
      </c>
      <c r="H21" s="397">
        <v>0</v>
      </c>
      <c r="I21" s="406" t="e">
        <f t="shared" ref="I21:I22" si="8">-H21/H$11*100</f>
        <v>#DIV/0!</v>
      </c>
      <c r="J21" s="413"/>
      <c r="K21" s="66"/>
      <c r="L21" s="66"/>
      <c r="M21" s="66"/>
      <c r="N21" s="66"/>
      <c r="O21" s="398"/>
      <c r="P21" s="66"/>
      <c r="Q21" s="399"/>
      <c r="R21" s="66"/>
      <c r="S21" s="415"/>
      <c r="T21" s="396"/>
      <c r="U21" s="408"/>
      <c r="V21" s="409"/>
      <c r="W21" s="406"/>
    </row>
    <row r="22" spans="1:23" ht="12.75" customHeight="1">
      <c r="B22" s="502" t="s">
        <v>541</v>
      </c>
      <c r="C22" s="456"/>
      <c r="D22" s="396" t="e">
        <f>#REF!</f>
        <v>#REF!</v>
      </c>
      <c r="E22" s="404" t="e">
        <f t="shared" si="6"/>
        <v>#REF!</v>
      </c>
      <c r="F22" s="397">
        <v>0</v>
      </c>
      <c r="G22" s="406" t="e">
        <f t="shared" si="7"/>
        <v>#DIV/0!</v>
      </c>
      <c r="H22" s="397">
        <v>0</v>
      </c>
      <c r="I22" s="406" t="e">
        <f t="shared" si="8"/>
        <v>#DIV/0!</v>
      </c>
      <c r="J22" s="413"/>
      <c r="K22" s="519" t="s">
        <v>542</v>
      </c>
      <c r="L22" s="456"/>
      <c r="M22" s="456"/>
      <c r="N22" s="456"/>
      <c r="O22" s="428"/>
      <c r="P22" s="429"/>
      <c r="Q22" s="430"/>
      <c r="R22" s="431"/>
      <c r="S22" s="432" t="s">
        <v>543</v>
      </c>
      <c r="T22" s="398"/>
      <c r="U22" s="401"/>
      <c r="V22" s="402"/>
      <c r="W22" s="66"/>
    </row>
    <row r="23" spans="1:23" ht="12.75" customHeight="1">
      <c r="D23" s="396">
        <v>0</v>
      </c>
      <c r="E23" s="404" t="e">
        <f>D23/D$11*100</f>
        <v>#REF!</v>
      </c>
      <c r="F23" s="397">
        <v>0</v>
      </c>
      <c r="G23" s="406" t="e">
        <f>F23/F$11*100</f>
        <v>#DIV/0!</v>
      </c>
      <c r="H23" s="397">
        <v>0</v>
      </c>
      <c r="I23" s="406" t="e">
        <f>H23/H$11*100</f>
        <v>#DIV/0!</v>
      </c>
      <c r="J23" s="413"/>
      <c r="K23" s="502" t="s">
        <v>522</v>
      </c>
      <c r="L23" s="456"/>
      <c r="M23" s="456"/>
      <c r="N23" s="456"/>
      <c r="O23" s="396">
        <v>0</v>
      </c>
      <c r="P23" s="404">
        <v>0</v>
      </c>
      <c r="Q23" s="405">
        <v>0</v>
      </c>
      <c r="R23" s="406">
        <v>0</v>
      </c>
      <c r="S23" s="407" t="s">
        <v>544</v>
      </c>
      <c r="T23" s="396">
        <v>0</v>
      </c>
      <c r="U23" s="408">
        <f t="shared" ref="U23:U26" si="9">T23/T$37*100</f>
        <v>0</v>
      </c>
      <c r="V23" s="409">
        <v>0</v>
      </c>
      <c r="W23" s="406" t="e">
        <f t="shared" ref="W23:W26" si="10">V23/V$37*100</f>
        <v>#DIV/0!</v>
      </c>
    </row>
    <row r="24" spans="1:23" ht="12.75" customHeight="1">
      <c r="D24" s="396">
        <v>0</v>
      </c>
      <c r="E24" s="404" t="e">
        <f>-D24/D$11*100</f>
        <v>#REF!</v>
      </c>
      <c r="F24" s="397">
        <v>0</v>
      </c>
      <c r="G24" s="406" t="e">
        <f>-F24/F$11*100</f>
        <v>#DIV/0!</v>
      </c>
      <c r="H24" s="397">
        <v>0</v>
      </c>
      <c r="I24" s="406" t="e">
        <f>-H24/H$11*100</f>
        <v>#DIV/0!</v>
      </c>
      <c r="J24" s="413"/>
      <c r="K24" s="502" t="s">
        <v>545</v>
      </c>
      <c r="L24" s="456"/>
      <c r="M24" s="456"/>
      <c r="N24" s="456"/>
      <c r="O24" s="396">
        <v>0</v>
      </c>
      <c r="P24" s="404">
        <f>O24/O$37*100</f>
        <v>0</v>
      </c>
      <c r="Q24" s="405">
        <v>0</v>
      </c>
      <c r="R24" s="406" t="e">
        <f>Q24/Q$37*100</f>
        <v>#DIV/0!</v>
      </c>
      <c r="S24" s="407" t="s">
        <v>546</v>
      </c>
      <c r="T24" s="396">
        <v>0</v>
      </c>
      <c r="U24" s="408">
        <f t="shared" si="9"/>
        <v>0</v>
      </c>
      <c r="V24" s="409">
        <v>0</v>
      </c>
      <c r="W24" s="406" t="e">
        <f t="shared" si="10"/>
        <v>#DIV/0!</v>
      </c>
    </row>
    <row r="25" spans="1:23" ht="12.75" customHeight="1">
      <c r="B25" s="502"/>
      <c r="C25" s="456"/>
      <c r="D25" s="396">
        <v>0</v>
      </c>
      <c r="E25" s="404" t="e">
        <f>D25/D$11*100</f>
        <v>#REF!</v>
      </c>
      <c r="F25" s="397">
        <v>0</v>
      </c>
      <c r="G25" s="406" t="e">
        <f>F25/F$11*100</f>
        <v>#DIV/0!</v>
      </c>
      <c r="H25" s="397">
        <v>0</v>
      </c>
      <c r="I25" s="406" t="e">
        <f>H25/H$11*100</f>
        <v>#DIV/0!</v>
      </c>
      <c r="J25" s="413"/>
      <c r="K25" s="502" t="s">
        <v>547</v>
      </c>
      <c r="L25" s="456"/>
      <c r="M25" s="456"/>
      <c r="N25" s="456"/>
      <c r="O25" s="396">
        <v>0</v>
      </c>
      <c r="P25" s="404">
        <f>-O25/O$37*100</f>
        <v>0</v>
      </c>
      <c r="Q25" s="405">
        <v>0</v>
      </c>
      <c r="R25" s="406" t="e">
        <f>-Q25/Q$37*100</f>
        <v>#DIV/0!</v>
      </c>
      <c r="S25" s="407" t="s">
        <v>548</v>
      </c>
      <c r="T25" s="396">
        <v>0</v>
      </c>
      <c r="U25" s="408">
        <f t="shared" si="9"/>
        <v>0</v>
      </c>
      <c r="V25" s="405">
        <v>0</v>
      </c>
      <c r="W25" s="406" t="e">
        <f t="shared" si="10"/>
        <v>#DIV/0!</v>
      </c>
    </row>
    <row r="26" spans="1:23" ht="17.25" customHeight="1">
      <c r="D26" s="396"/>
      <c r="F26" s="397"/>
      <c r="G26" s="66"/>
      <c r="H26" s="397"/>
      <c r="I26" s="66"/>
      <c r="J26" s="376"/>
      <c r="K26" s="502" t="s">
        <v>549</v>
      </c>
      <c r="L26" s="456"/>
      <c r="M26" s="456"/>
      <c r="N26" s="456"/>
      <c r="O26" s="396">
        <v>0</v>
      </c>
      <c r="P26" s="404">
        <f t="shared" ref="P26:P28" si="11">O26/O$37*100</f>
        <v>0</v>
      </c>
      <c r="Q26" s="405">
        <v>0</v>
      </c>
      <c r="R26" s="406" t="e">
        <f t="shared" ref="R26:R28" si="12">Q26/Q$37*100</f>
        <v>#DIV/0!</v>
      </c>
      <c r="S26" s="407" t="s">
        <v>550</v>
      </c>
      <c r="T26" s="396">
        <v>0</v>
      </c>
      <c r="U26" s="408">
        <f t="shared" si="9"/>
        <v>0</v>
      </c>
      <c r="V26" s="409">
        <v>0</v>
      </c>
      <c r="W26" s="406" t="e">
        <f t="shared" si="10"/>
        <v>#DIV/0!</v>
      </c>
    </row>
    <row r="27" spans="1:23" ht="13.5" customHeight="1">
      <c r="A27" s="382" t="s">
        <v>551</v>
      </c>
      <c r="B27" s="382"/>
      <c r="C27" s="382"/>
      <c r="D27" s="419" t="e">
        <f>D19+(D21+D22+D23+D24+D25)</f>
        <v>#REF!</v>
      </c>
      <c r="E27" s="420" t="e">
        <f>D27/D$11*100</f>
        <v>#REF!</v>
      </c>
      <c r="F27" s="421">
        <f>F19+(F21+F22+F23+F24+F25)</f>
        <v>0</v>
      </c>
      <c r="G27" s="422" t="e">
        <f>F27/F$11*100</f>
        <v>#DIV/0!</v>
      </c>
      <c r="H27" s="421">
        <f>H19+(H21+H22+H23+H24+H25)</f>
        <v>0</v>
      </c>
      <c r="I27" s="422" t="e">
        <f>H27/H$11*100</f>
        <v>#DIV/0!</v>
      </c>
      <c r="J27" s="413"/>
      <c r="K27" s="502" t="s">
        <v>537</v>
      </c>
      <c r="L27" s="456"/>
      <c r="M27" s="456"/>
      <c r="N27" s="456"/>
      <c r="O27" s="396">
        <v>0</v>
      </c>
      <c r="P27" s="404">
        <f t="shared" si="11"/>
        <v>0</v>
      </c>
      <c r="Q27" s="405">
        <v>0</v>
      </c>
      <c r="R27" s="406" t="e">
        <f t="shared" si="12"/>
        <v>#DIV/0!</v>
      </c>
      <c r="S27" s="415"/>
      <c r="T27" s="398"/>
      <c r="U27" s="401"/>
      <c r="V27" s="402"/>
      <c r="W27" s="66"/>
    </row>
    <row r="28" spans="1:23" ht="13.5" customHeight="1">
      <c r="B28" s="502" t="s">
        <v>552</v>
      </c>
      <c r="C28" s="456"/>
      <c r="D28" s="396">
        <v>0</v>
      </c>
      <c r="F28" s="397">
        <v>0</v>
      </c>
      <c r="G28" s="406" t="e">
        <f t="shared" ref="G28:G29" si="13">-F28/F$11*100</f>
        <v>#DIV/0!</v>
      </c>
      <c r="H28" s="397">
        <v>0</v>
      </c>
      <c r="I28" s="406" t="e">
        <f t="shared" ref="I28:I29" si="14">-H28/H$11*100</f>
        <v>#DIV/0!</v>
      </c>
      <c r="J28" s="376"/>
      <c r="K28" s="515" t="s">
        <v>553</v>
      </c>
      <c r="L28" s="516"/>
      <c r="M28" s="516"/>
      <c r="N28" s="516"/>
      <c r="O28" s="419">
        <f>SUM(O23:O27)</f>
        <v>0</v>
      </c>
      <c r="P28" s="420">
        <f t="shared" si="11"/>
        <v>0</v>
      </c>
      <c r="Q28" s="425">
        <f>SUM(Q23:Q27)</f>
        <v>0</v>
      </c>
      <c r="R28" s="422" t="e">
        <f t="shared" si="12"/>
        <v>#DIV/0!</v>
      </c>
      <c r="S28" s="383" t="s">
        <v>554</v>
      </c>
      <c r="T28" s="419">
        <f>SUM(T23:T27)</f>
        <v>0</v>
      </c>
      <c r="U28" s="426">
        <f>T28/T$37*100</f>
        <v>0</v>
      </c>
      <c r="V28" s="427">
        <f>SUM(V23:V27)</f>
        <v>0</v>
      </c>
      <c r="W28" s="422" t="e">
        <f>V28/V$37*100</f>
        <v>#DIV/0!</v>
      </c>
    </row>
    <row r="29" spans="1:23" ht="12.75" customHeight="1">
      <c r="B29" s="502" t="s">
        <v>555</v>
      </c>
      <c r="C29" s="456"/>
      <c r="D29" s="396">
        <v>0</v>
      </c>
      <c r="E29" s="404">
        <v>0</v>
      </c>
      <c r="F29" s="397">
        <v>0</v>
      </c>
      <c r="G29" s="406" t="e">
        <f t="shared" si="13"/>
        <v>#DIV/0!</v>
      </c>
      <c r="H29" s="397">
        <v>0</v>
      </c>
      <c r="I29" s="406" t="e">
        <f t="shared" si="14"/>
        <v>#DIV/0!</v>
      </c>
      <c r="J29" s="413"/>
      <c r="K29" s="403"/>
      <c r="L29" s="403"/>
      <c r="M29" s="403"/>
      <c r="N29" s="403"/>
      <c r="O29" s="396"/>
      <c r="P29" s="404"/>
      <c r="Q29" s="405"/>
      <c r="R29" s="406"/>
      <c r="S29" s="415"/>
      <c r="T29" s="398"/>
      <c r="U29" s="401"/>
      <c r="V29" s="402"/>
      <c r="W29" s="66"/>
    </row>
    <row r="30" spans="1:23" ht="12.75" customHeight="1">
      <c r="B30" s="502" t="s">
        <v>556</v>
      </c>
      <c r="C30" s="456"/>
      <c r="D30" s="396" t="e">
        <f t="shared" ref="D30:D32" si="15">#REF!</f>
        <v>#REF!</v>
      </c>
      <c r="E30" s="404" t="e">
        <f t="shared" ref="E30:E32" si="16">-D30/D$11*100</f>
        <v>#REF!</v>
      </c>
      <c r="F30" s="397">
        <v>0</v>
      </c>
      <c r="G30" s="406" t="e">
        <f>F30/F$11*100</f>
        <v>#DIV/0!</v>
      </c>
      <c r="H30" s="397">
        <v>0</v>
      </c>
      <c r="I30" s="406" t="e">
        <f>H30/H$11*100</f>
        <v>#DIV/0!</v>
      </c>
      <c r="J30" s="413"/>
      <c r="K30" s="403"/>
      <c r="L30" s="403"/>
      <c r="M30" s="403"/>
      <c r="N30" s="403"/>
      <c r="O30" s="396"/>
      <c r="P30" s="404"/>
      <c r="Q30" s="405"/>
      <c r="R30" s="406"/>
      <c r="S30" s="432" t="s">
        <v>557</v>
      </c>
      <c r="T30" s="396"/>
      <c r="U30" s="408"/>
      <c r="V30" s="409"/>
      <c r="W30" s="406"/>
    </row>
    <row r="31" spans="1:23" ht="12.75" customHeight="1">
      <c r="A31" s="66"/>
      <c r="B31" s="502" t="s">
        <v>558</v>
      </c>
      <c r="C31" s="456"/>
      <c r="D31" s="396" t="e">
        <f t="shared" si="15"/>
        <v>#REF!</v>
      </c>
      <c r="E31" s="404" t="e">
        <f t="shared" si="16"/>
        <v>#REF!</v>
      </c>
      <c r="F31" s="397">
        <v>0</v>
      </c>
      <c r="G31" s="406" t="e">
        <f>-F31/F$11*100</f>
        <v>#DIV/0!</v>
      </c>
      <c r="H31" s="397">
        <v>0</v>
      </c>
      <c r="I31" s="406" t="e">
        <f>-H31/H$11*100</f>
        <v>#DIV/0!</v>
      </c>
      <c r="J31" s="413"/>
      <c r="K31" s="403"/>
      <c r="L31" s="403"/>
      <c r="M31" s="403"/>
      <c r="N31" s="403"/>
      <c r="O31" s="396"/>
      <c r="P31" s="404"/>
      <c r="Q31" s="405"/>
      <c r="R31" s="406"/>
      <c r="S31" s="407" t="s">
        <v>559</v>
      </c>
      <c r="T31" s="396">
        <v>0</v>
      </c>
      <c r="U31" s="408">
        <f t="shared" ref="U31:U36" si="17">T31/T$37*100</f>
        <v>0</v>
      </c>
      <c r="V31" s="409">
        <v>0</v>
      </c>
      <c r="W31" s="406" t="e">
        <f t="shared" ref="W31:W36" si="18">V31/V$37*100</f>
        <v>#DIV/0!</v>
      </c>
    </row>
    <row r="32" spans="1:23" ht="13.5" customHeight="1">
      <c r="A32" s="433"/>
      <c r="B32" s="502" t="s">
        <v>560</v>
      </c>
      <c r="C32" s="456"/>
      <c r="D32" s="396" t="e">
        <f t="shared" si="15"/>
        <v>#REF!</v>
      </c>
      <c r="E32" s="404" t="e">
        <f t="shared" si="16"/>
        <v>#REF!</v>
      </c>
      <c r="F32" s="397">
        <v>0</v>
      </c>
      <c r="G32" s="406" t="e">
        <f t="shared" ref="G32:G33" si="19">F32/F$11*100</f>
        <v>#DIV/0!</v>
      </c>
      <c r="H32" s="397">
        <v>0</v>
      </c>
      <c r="I32" s="406" t="e">
        <f t="shared" ref="I32:I33" si="20">H32/H$11*100</f>
        <v>#DIV/0!</v>
      </c>
      <c r="J32" s="376"/>
      <c r="K32" s="403"/>
      <c r="L32" s="403"/>
      <c r="M32" s="403"/>
      <c r="N32" s="403"/>
      <c r="O32" s="396"/>
      <c r="P32" s="404"/>
      <c r="Q32" s="405"/>
      <c r="R32" s="406"/>
      <c r="S32" s="407" t="s">
        <v>561</v>
      </c>
      <c r="T32" s="396">
        <v>0</v>
      </c>
      <c r="U32" s="408">
        <f t="shared" si="17"/>
        <v>0</v>
      </c>
      <c r="V32" s="409">
        <v>0</v>
      </c>
      <c r="W32" s="406" t="e">
        <f t="shared" si="18"/>
        <v>#DIV/0!</v>
      </c>
    </row>
    <row r="33" spans="1:28" ht="13.5" customHeight="1">
      <c r="A33" s="434" t="s">
        <v>562</v>
      </c>
      <c r="B33" s="382"/>
      <c r="C33" s="382"/>
      <c r="D33" s="419" t="e">
        <f>+D27+D28+D29+D30+D31</f>
        <v>#REF!</v>
      </c>
      <c r="E33" s="420" t="e">
        <f>D33/D$11*100</f>
        <v>#REF!</v>
      </c>
      <c r="F33" s="421">
        <f>+F27+F28+F31+F32+F30+F29</f>
        <v>0</v>
      </c>
      <c r="G33" s="422" t="e">
        <f t="shared" si="19"/>
        <v>#DIV/0!</v>
      </c>
      <c r="H33" s="421">
        <f>+H27+H28+H31+H32+H30+H29</f>
        <v>0</v>
      </c>
      <c r="I33" s="422" t="e">
        <f t="shared" si="20"/>
        <v>#DIV/0!</v>
      </c>
      <c r="J33" s="413"/>
      <c r="K33" s="403"/>
      <c r="L33" s="403"/>
      <c r="M33" s="403"/>
      <c r="N33" s="403"/>
      <c r="O33" s="396"/>
      <c r="P33" s="404"/>
      <c r="Q33" s="405"/>
      <c r="R33" s="406"/>
      <c r="S33" s="407" t="s">
        <v>563</v>
      </c>
      <c r="T33" s="396">
        <v>0</v>
      </c>
      <c r="U33" s="408">
        <f t="shared" si="17"/>
        <v>0</v>
      </c>
      <c r="V33" s="409">
        <v>0</v>
      </c>
      <c r="W33" s="406" t="e">
        <f t="shared" si="18"/>
        <v>#DIV/0!</v>
      </c>
    </row>
    <row r="34" spans="1:28" ht="12.75" customHeight="1">
      <c r="A34" s="403"/>
      <c r="B34" s="395"/>
      <c r="C34" s="395"/>
      <c r="D34" s="435"/>
      <c r="E34" s="436"/>
      <c r="F34" s="416"/>
      <c r="G34" s="437"/>
      <c r="H34" s="416"/>
      <c r="I34" s="437"/>
      <c r="J34" s="413"/>
      <c r="K34" s="66"/>
      <c r="L34" s="66"/>
      <c r="M34" s="66"/>
      <c r="N34" s="66"/>
      <c r="O34" s="398"/>
      <c r="P34" s="66"/>
      <c r="Q34" s="399"/>
      <c r="R34" s="66"/>
      <c r="S34" s="407" t="s">
        <v>564</v>
      </c>
      <c r="T34" s="396">
        <v>0</v>
      </c>
      <c r="U34" s="408">
        <f t="shared" si="17"/>
        <v>0</v>
      </c>
      <c r="V34" s="409">
        <v>0</v>
      </c>
      <c r="W34" s="406" t="e">
        <f t="shared" si="18"/>
        <v>#DIV/0!</v>
      </c>
      <c r="X34" s="66"/>
      <c r="Y34" s="66"/>
      <c r="Z34" s="66"/>
      <c r="AA34" s="66"/>
      <c r="AB34" s="66"/>
    </row>
    <row r="35" spans="1:28" ht="12.75" customHeight="1">
      <c r="A35" s="66"/>
      <c r="B35" s="502" t="s">
        <v>565</v>
      </c>
      <c r="C35" s="456"/>
      <c r="D35" s="396" t="e">
        <f>D33*30%</f>
        <v>#REF!</v>
      </c>
      <c r="E35" s="404" t="e">
        <f>-D35/D$11*100</f>
        <v>#REF!</v>
      </c>
      <c r="F35" s="397">
        <v>0</v>
      </c>
      <c r="G35" s="406" t="e">
        <f>-F35/F$11*100</f>
        <v>#DIV/0!</v>
      </c>
      <c r="H35" s="397">
        <v>0</v>
      </c>
      <c r="I35" s="406" t="e">
        <f>-H35/H$11*100</f>
        <v>#DIV/0!</v>
      </c>
      <c r="J35" s="413"/>
      <c r="K35" s="66"/>
      <c r="L35" s="66"/>
      <c r="M35" s="66"/>
      <c r="N35" s="66"/>
      <c r="O35" s="398"/>
      <c r="P35" s="66"/>
      <c r="Q35" s="399"/>
      <c r="R35" s="66"/>
      <c r="S35" s="407" t="s">
        <v>566</v>
      </c>
      <c r="T35" s="396">
        <v>0</v>
      </c>
      <c r="U35" s="408">
        <f t="shared" si="17"/>
        <v>0</v>
      </c>
      <c r="V35" s="409">
        <v>0</v>
      </c>
      <c r="W35" s="406" t="e">
        <f t="shared" si="18"/>
        <v>#DIV/0!</v>
      </c>
    </row>
    <row r="36" spans="1:28" ht="13.5" customHeight="1">
      <c r="D36" s="398"/>
      <c r="F36" s="424"/>
      <c r="G36" s="66"/>
      <c r="H36" s="424"/>
      <c r="I36" s="66"/>
      <c r="J36" s="376"/>
      <c r="K36" s="66"/>
      <c r="L36" s="66"/>
      <c r="M36" s="66"/>
      <c r="N36" s="66"/>
      <c r="O36" s="398"/>
      <c r="P36" s="66"/>
      <c r="Q36" s="399"/>
      <c r="R36" s="66"/>
      <c r="S36" s="438" t="s">
        <v>567</v>
      </c>
      <c r="T36" s="439">
        <f>SUM(T31:T35)</f>
        <v>0</v>
      </c>
      <c r="U36" s="440">
        <f t="shared" si="17"/>
        <v>0</v>
      </c>
      <c r="V36" s="441">
        <f>SUM(V31:V35)</f>
        <v>0</v>
      </c>
      <c r="W36" s="442" t="e">
        <f t="shared" si="18"/>
        <v>#DIV/0!</v>
      </c>
    </row>
    <row r="37" spans="1:28" ht="13.5" customHeight="1">
      <c r="A37" s="382" t="s">
        <v>568</v>
      </c>
      <c r="B37" s="382"/>
      <c r="C37" s="382"/>
      <c r="D37" s="419" t="e">
        <f>D33-D35</f>
        <v>#REF!</v>
      </c>
      <c r="E37" s="420" t="e">
        <f>D37/D$11*100</f>
        <v>#REF!</v>
      </c>
      <c r="F37" s="421">
        <f>F33+F35</f>
        <v>0</v>
      </c>
      <c r="G37" s="422" t="e">
        <f>F37/F$11*100</f>
        <v>#DIV/0!</v>
      </c>
      <c r="H37" s="421">
        <f>H33+H35</f>
        <v>0</v>
      </c>
      <c r="I37" s="422" t="e">
        <f>H37/H$11*100</f>
        <v>#DIV/0!</v>
      </c>
      <c r="J37" s="413"/>
      <c r="K37" s="515" t="s">
        <v>569</v>
      </c>
      <c r="L37" s="516"/>
      <c r="M37" s="516"/>
      <c r="N37" s="516"/>
      <c r="O37" s="419">
        <f>O20+O28</f>
        <v>194779.56000000006</v>
      </c>
      <c r="P37" s="420">
        <v>100</v>
      </c>
      <c r="Q37" s="425">
        <f>Q20+Q28</f>
        <v>0</v>
      </c>
      <c r="R37" s="422">
        <v>100</v>
      </c>
      <c r="S37" s="383" t="s">
        <v>570</v>
      </c>
      <c r="T37" s="419">
        <f>T20+T28+T36</f>
        <v>610968.5</v>
      </c>
      <c r="U37" s="426">
        <v>100</v>
      </c>
      <c r="V37" s="427">
        <f>V20+V28+V36</f>
        <v>0</v>
      </c>
      <c r="W37" s="422">
        <v>100</v>
      </c>
    </row>
    <row r="38" spans="1:28" ht="12.75" customHeight="1">
      <c r="F38" s="66"/>
      <c r="G38" s="66"/>
      <c r="H38" s="66"/>
      <c r="I38" s="66"/>
      <c r="J38" s="376"/>
      <c r="Q38" s="66"/>
      <c r="R38" s="66"/>
      <c r="V38" s="66"/>
      <c r="W38" s="66"/>
    </row>
    <row r="39" spans="1:28" ht="12.75" customHeight="1">
      <c r="F39" s="66"/>
      <c r="G39" s="66"/>
      <c r="H39" s="66"/>
      <c r="I39" s="66"/>
      <c r="J39" s="376"/>
      <c r="Q39" s="66"/>
      <c r="R39" s="66"/>
      <c r="V39" s="66"/>
      <c r="W39" s="66"/>
    </row>
    <row r="40" spans="1:28" ht="12.75" customHeight="1">
      <c r="B40" s="443" t="s">
        <v>571</v>
      </c>
      <c r="D40" s="443" t="s">
        <v>572</v>
      </c>
      <c r="F40" s="66"/>
      <c r="G40" s="66"/>
      <c r="H40" s="66"/>
      <c r="I40" s="66"/>
      <c r="J40" s="376"/>
      <c r="L40" s="443" t="s">
        <v>571</v>
      </c>
      <c r="Q40" s="443" t="s">
        <v>573</v>
      </c>
      <c r="R40" s="66"/>
      <c r="V40" s="66"/>
      <c r="W40" s="66"/>
    </row>
    <row r="41" spans="1:28" ht="12.75" customHeight="1">
      <c r="F41" s="66"/>
      <c r="G41" s="66"/>
      <c r="H41" s="66"/>
      <c r="I41" s="66"/>
      <c r="J41" s="376"/>
      <c r="Q41" s="66"/>
      <c r="R41" s="66"/>
      <c r="V41" s="66"/>
      <c r="W41" s="66"/>
    </row>
    <row r="42" spans="1:28" ht="12.75" customHeight="1">
      <c r="F42" s="66"/>
      <c r="G42" s="66"/>
      <c r="H42" s="66"/>
      <c r="I42" s="66"/>
      <c r="J42" s="376"/>
      <c r="Q42" s="66"/>
      <c r="R42" s="66"/>
      <c r="V42" s="66"/>
      <c r="W42" s="66"/>
    </row>
    <row r="43" spans="1:28" ht="12.75" customHeight="1">
      <c r="F43" s="66"/>
      <c r="G43" s="66"/>
      <c r="H43" s="66"/>
      <c r="I43" s="66"/>
      <c r="J43" s="376"/>
      <c r="Q43" s="66"/>
      <c r="R43" s="66"/>
      <c r="V43" s="66"/>
      <c r="W43" s="66"/>
    </row>
    <row r="44" spans="1:28" ht="12.75" customHeight="1">
      <c r="F44" s="66"/>
      <c r="G44" s="66"/>
      <c r="H44" s="66"/>
      <c r="I44" s="66"/>
      <c r="J44" s="376"/>
      <c r="Q44" s="66"/>
      <c r="R44" s="66"/>
      <c r="V44" s="66"/>
      <c r="W44" s="66"/>
    </row>
    <row r="45" spans="1:28" ht="12.75" customHeight="1">
      <c r="F45" s="66"/>
      <c r="G45" s="66"/>
      <c r="H45" s="66"/>
      <c r="I45" s="66"/>
      <c r="J45" s="376"/>
      <c r="Q45" s="66"/>
      <c r="R45" s="66"/>
      <c r="V45" s="66"/>
      <c r="W45" s="66"/>
    </row>
    <row r="46" spans="1:28" ht="12.75" customHeight="1">
      <c r="F46" s="66"/>
      <c r="G46" s="66"/>
      <c r="H46" s="66"/>
      <c r="I46" s="66"/>
      <c r="J46" s="376"/>
      <c r="Q46" s="66"/>
      <c r="R46" s="66"/>
      <c r="V46" s="66"/>
      <c r="W46" s="66"/>
    </row>
    <row r="47" spans="1:28" ht="12.75" customHeight="1">
      <c r="F47" s="66"/>
      <c r="G47" s="66"/>
      <c r="H47" s="66"/>
      <c r="I47" s="66"/>
      <c r="J47" s="376"/>
      <c r="Q47" s="66"/>
      <c r="R47" s="66"/>
      <c r="V47" s="66"/>
      <c r="W47" s="66"/>
    </row>
    <row r="48" spans="1:28" ht="12.75" customHeight="1">
      <c r="F48" s="66"/>
      <c r="G48" s="66"/>
      <c r="H48" s="66"/>
      <c r="I48" s="66"/>
      <c r="J48" s="376"/>
      <c r="Q48" s="66"/>
      <c r="R48" s="66"/>
      <c r="V48" s="66"/>
      <c r="W48" s="66"/>
    </row>
    <row r="49" spans="6:23" ht="12.75" customHeight="1">
      <c r="F49" s="66"/>
      <c r="G49" s="66"/>
      <c r="H49" s="66"/>
      <c r="I49" s="66"/>
      <c r="J49" s="376"/>
      <c r="Q49" s="66"/>
      <c r="R49" s="66"/>
      <c r="V49" s="66"/>
      <c r="W49" s="66"/>
    </row>
    <row r="50" spans="6:23" ht="12.75" customHeight="1">
      <c r="F50" s="66"/>
      <c r="G50" s="66"/>
      <c r="H50" s="66"/>
      <c r="I50" s="66"/>
      <c r="J50" s="376"/>
      <c r="Q50" s="66"/>
      <c r="R50" s="66"/>
      <c r="V50" s="66"/>
      <c r="W50" s="66"/>
    </row>
    <row r="51" spans="6:23" ht="12.75" customHeight="1">
      <c r="F51" s="66"/>
      <c r="G51" s="66"/>
      <c r="H51" s="66"/>
      <c r="I51" s="66"/>
      <c r="J51" s="376"/>
      <c r="Q51" s="66"/>
      <c r="R51" s="66"/>
      <c r="V51" s="66"/>
      <c r="W51" s="66"/>
    </row>
    <row r="52" spans="6:23" ht="12.75" customHeight="1">
      <c r="F52" s="66"/>
      <c r="G52" s="66"/>
      <c r="H52" s="66"/>
      <c r="I52" s="66"/>
      <c r="J52" s="376"/>
      <c r="Q52" s="66"/>
      <c r="R52" s="66"/>
      <c r="V52" s="66"/>
      <c r="W52" s="66"/>
    </row>
    <row r="53" spans="6:23" ht="12.75" customHeight="1">
      <c r="F53" s="66"/>
      <c r="G53" s="66"/>
      <c r="H53" s="66"/>
      <c r="I53" s="66"/>
      <c r="J53" s="376"/>
      <c r="Q53" s="66"/>
      <c r="R53" s="66"/>
      <c r="V53" s="66"/>
      <c r="W53" s="66"/>
    </row>
    <row r="54" spans="6:23" ht="12.75" customHeight="1">
      <c r="F54" s="66"/>
      <c r="G54" s="66"/>
      <c r="H54" s="66"/>
      <c r="I54" s="66"/>
      <c r="J54" s="376"/>
      <c r="Q54" s="66"/>
      <c r="R54" s="66"/>
      <c r="V54" s="66"/>
      <c r="W54" s="66"/>
    </row>
    <row r="55" spans="6:23" ht="12.75" customHeight="1">
      <c r="F55" s="66"/>
      <c r="G55" s="66"/>
      <c r="H55" s="66"/>
      <c r="I55" s="66"/>
      <c r="J55" s="376"/>
      <c r="Q55" s="66"/>
      <c r="R55" s="66"/>
      <c r="V55" s="66"/>
      <c r="W55" s="66"/>
    </row>
    <row r="56" spans="6:23" ht="12.75" customHeight="1">
      <c r="F56" s="66"/>
      <c r="G56" s="66"/>
      <c r="H56" s="66"/>
      <c r="I56" s="66"/>
      <c r="J56" s="376"/>
      <c r="Q56" s="66"/>
      <c r="R56" s="66"/>
      <c r="V56" s="66"/>
      <c r="W56" s="66"/>
    </row>
    <row r="57" spans="6:23" ht="12.75" customHeight="1">
      <c r="F57" s="66"/>
      <c r="G57" s="66"/>
      <c r="H57" s="66"/>
      <c r="I57" s="66"/>
      <c r="J57" s="376"/>
      <c r="Q57" s="66"/>
      <c r="R57" s="66"/>
      <c r="V57" s="66"/>
      <c r="W57" s="66"/>
    </row>
    <row r="58" spans="6:23" ht="12.75" customHeight="1">
      <c r="F58" s="66"/>
      <c r="G58" s="66"/>
      <c r="H58" s="66"/>
      <c r="I58" s="66"/>
      <c r="J58" s="376"/>
      <c r="Q58" s="66"/>
      <c r="R58" s="66"/>
      <c r="V58" s="66"/>
      <c r="W58" s="66"/>
    </row>
    <row r="59" spans="6:23" ht="12.75" customHeight="1">
      <c r="F59" s="66"/>
      <c r="G59" s="66"/>
      <c r="H59" s="66"/>
      <c r="I59" s="66"/>
      <c r="J59" s="376"/>
      <c r="Q59" s="66"/>
      <c r="R59" s="66"/>
      <c r="V59" s="66"/>
      <c r="W59" s="66"/>
    </row>
    <row r="60" spans="6:23" ht="12.75" customHeight="1">
      <c r="F60" s="66"/>
      <c r="G60" s="66"/>
      <c r="H60" s="66"/>
      <c r="I60" s="66"/>
      <c r="J60" s="376"/>
      <c r="Q60" s="66"/>
      <c r="R60" s="66"/>
      <c r="V60" s="66"/>
      <c r="W60" s="66"/>
    </row>
    <row r="61" spans="6:23" ht="12.75" customHeight="1">
      <c r="F61" s="66"/>
      <c r="G61" s="66"/>
      <c r="H61" s="66"/>
      <c r="I61" s="66"/>
      <c r="J61" s="376"/>
      <c r="Q61" s="66"/>
      <c r="R61" s="66"/>
      <c r="V61" s="66"/>
      <c r="W61" s="66"/>
    </row>
    <row r="62" spans="6:23" ht="12.75" customHeight="1">
      <c r="F62" s="66"/>
      <c r="G62" s="66"/>
      <c r="H62" s="66"/>
      <c r="I62" s="66"/>
      <c r="J62" s="376"/>
      <c r="Q62" s="66"/>
      <c r="R62" s="66"/>
      <c r="V62" s="66"/>
      <c r="W62" s="66"/>
    </row>
    <row r="63" spans="6:23" ht="12.75" customHeight="1">
      <c r="F63" s="66"/>
      <c r="G63" s="66"/>
      <c r="H63" s="66"/>
      <c r="I63" s="66"/>
      <c r="J63" s="376"/>
      <c r="Q63" s="66"/>
      <c r="R63" s="66"/>
      <c r="V63" s="66"/>
      <c r="W63" s="66"/>
    </row>
    <row r="64" spans="6:23" ht="12.75" customHeight="1">
      <c r="F64" s="66"/>
      <c r="G64" s="66"/>
      <c r="H64" s="66"/>
      <c r="I64" s="66"/>
      <c r="J64" s="376"/>
      <c r="Q64" s="66"/>
      <c r="R64" s="66"/>
      <c r="V64" s="66"/>
      <c r="W64" s="66"/>
    </row>
    <row r="65" spans="6:23" ht="12.75" customHeight="1">
      <c r="F65" s="66"/>
      <c r="G65" s="66"/>
      <c r="H65" s="66"/>
      <c r="I65" s="66"/>
      <c r="J65" s="376"/>
      <c r="Q65" s="66"/>
      <c r="R65" s="66"/>
      <c r="V65" s="66"/>
      <c r="W65" s="66"/>
    </row>
    <row r="66" spans="6:23" ht="12.75" customHeight="1">
      <c r="F66" s="66"/>
      <c r="G66" s="66"/>
      <c r="H66" s="66"/>
      <c r="I66" s="66"/>
      <c r="J66" s="376"/>
      <c r="Q66" s="66"/>
      <c r="R66" s="66"/>
      <c r="V66" s="66"/>
      <c r="W66" s="66"/>
    </row>
    <row r="67" spans="6:23" ht="12.75" customHeight="1">
      <c r="F67" s="66"/>
      <c r="G67" s="66"/>
      <c r="H67" s="66"/>
      <c r="I67" s="66"/>
      <c r="J67" s="376"/>
      <c r="Q67" s="66"/>
      <c r="R67" s="66"/>
      <c r="V67" s="66"/>
      <c r="W67" s="66"/>
    </row>
    <row r="68" spans="6:23" ht="12.75" customHeight="1">
      <c r="F68" s="66"/>
      <c r="G68" s="66"/>
      <c r="H68" s="66"/>
      <c r="I68" s="66"/>
      <c r="J68" s="376"/>
      <c r="Q68" s="66"/>
      <c r="R68" s="66"/>
      <c r="V68" s="66"/>
      <c r="W68" s="66"/>
    </row>
    <row r="69" spans="6:23" ht="12.75" customHeight="1">
      <c r="F69" s="66"/>
      <c r="G69" s="66"/>
      <c r="H69" s="66"/>
      <c r="I69" s="66"/>
      <c r="J69" s="376"/>
      <c r="Q69" s="66"/>
      <c r="R69" s="66"/>
      <c r="V69" s="66"/>
      <c r="W69" s="66"/>
    </row>
    <row r="70" spans="6:23" ht="12.75" customHeight="1">
      <c r="F70" s="66"/>
      <c r="G70" s="66"/>
      <c r="H70" s="66"/>
      <c r="I70" s="66"/>
      <c r="J70" s="376"/>
      <c r="Q70" s="66"/>
      <c r="R70" s="66"/>
      <c r="V70" s="66"/>
      <c r="W70" s="66"/>
    </row>
    <row r="71" spans="6:23" ht="12.75" customHeight="1">
      <c r="F71" s="66"/>
      <c r="G71" s="66"/>
      <c r="H71" s="66"/>
      <c r="I71" s="66"/>
      <c r="J71" s="376"/>
      <c r="Q71" s="66"/>
      <c r="R71" s="66"/>
      <c r="V71" s="66"/>
      <c r="W71" s="66"/>
    </row>
    <row r="72" spans="6:23" ht="12.75" customHeight="1">
      <c r="F72" s="66"/>
      <c r="G72" s="66"/>
      <c r="H72" s="66"/>
      <c r="I72" s="66"/>
      <c r="J72" s="376"/>
      <c r="Q72" s="66"/>
      <c r="R72" s="66"/>
      <c r="V72" s="66"/>
      <c r="W72" s="66"/>
    </row>
    <row r="73" spans="6:23" ht="12.75" customHeight="1">
      <c r="F73" s="66"/>
      <c r="G73" s="66"/>
      <c r="H73" s="66"/>
      <c r="I73" s="66"/>
      <c r="J73" s="376"/>
      <c r="Q73" s="66"/>
      <c r="R73" s="66"/>
      <c r="V73" s="66"/>
      <c r="W73" s="66"/>
    </row>
    <row r="74" spans="6:23" ht="12.75" customHeight="1">
      <c r="F74" s="66"/>
      <c r="G74" s="66"/>
      <c r="H74" s="66"/>
      <c r="I74" s="66"/>
      <c r="J74" s="376"/>
      <c r="Q74" s="66"/>
      <c r="R74" s="66"/>
      <c r="V74" s="66"/>
      <c r="W74" s="66"/>
    </row>
    <row r="75" spans="6:23" ht="12.75" customHeight="1">
      <c r="F75" s="66"/>
      <c r="G75" s="66"/>
      <c r="H75" s="66"/>
      <c r="I75" s="66"/>
      <c r="J75" s="376"/>
      <c r="Q75" s="66"/>
      <c r="R75" s="66"/>
      <c r="V75" s="66"/>
      <c r="W75" s="66"/>
    </row>
    <row r="76" spans="6:23" ht="12.75" customHeight="1">
      <c r="F76" s="66"/>
      <c r="G76" s="66"/>
      <c r="H76" s="66"/>
      <c r="I76" s="66"/>
      <c r="J76" s="376"/>
      <c r="Q76" s="66"/>
      <c r="R76" s="66"/>
      <c r="V76" s="66"/>
      <c r="W76" s="66"/>
    </row>
    <row r="77" spans="6:23" ht="12.75" customHeight="1">
      <c r="F77" s="66"/>
      <c r="G77" s="66"/>
      <c r="H77" s="66"/>
      <c r="I77" s="66"/>
      <c r="J77" s="376"/>
      <c r="Q77" s="66"/>
      <c r="R77" s="66"/>
      <c r="V77" s="66"/>
      <c r="W77" s="66"/>
    </row>
    <row r="78" spans="6:23" ht="12.75" customHeight="1">
      <c r="F78" s="66"/>
      <c r="G78" s="66"/>
      <c r="H78" s="66"/>
      <c r="I78" s="66"/>
      <c r="J78" s="376"/>
      <c r="Q78" s="66"/>
      <c r="R78" s="66"/>
      <c r="V78" s="66"/>
      <c r="W78" s="66"/>
    </row>
    <row r="79" spans="6:23" ht="12.75" customHeight="1">
      <c r="F79" s="66"/>
      <c r="G79" s="66"/>
      <c r="H79" s="66"/>
      <c r="I79" s="66"/>
      <c r="J79" s="376"/>
      <c r="Q79" s="66"/>
      <c r="R79" s="66"/>
      <c r="V79" s="66"/>
      <c r="W79" s="66"/>
    </row>
    <row r="80" spans="6:23" ht="12.75" customHeight="1">
      <c r="F80" s="66"/>
      <c r="G80" s="66"/>
      <c r="H80" s="66"/>
      <c r="I80" s="66"/>
      <c r="J80" s="376"/>
      <c r="Q80" s="66"/>
      <c r="R80" s="66"/>
      <c r="V80" s="66"/>
      <c r="W80" s="66"/>
    </row>
    <row r="81" spans="6:23" ht="12.75" customHeight="1">
      <c r="F81" s="66"/>
      <c r="G81" s="66"/>
      <c r="H81" s="66"/>
      <c r="I81" s="66"/>
      <c r="J81" s="376"/>
      <c r="Q81" s="66"/>
      <c r="R81" s="66"/>
      <c r="V81" s="66"/>
      <c r="W81" s="66"/>
    </row>
    <row r="82" spans="6:23" ht="12.75" customHeight="1">
      <c r="F82" s="66"/>
      <c r="G82" s="66"/>
      <c r="H82" s="66"/>
      <c r="I82" s="66"/>
      <c r="J82" s="376"/>
      <c r="Q82" s="66"/>
      <c r="R82" s="66"/>
      <c r="V82" s="66"/>
      <c r="W82" s="66"/>
    </row>
    <row r="83" spans="6:23" ht="12.75" customHeight="1">
      <c r="F83" s="66"/>
      <c r="G83" s="66"/>
      <c r="H83" s="66"/>
      <c r="I83" s="66"/>
      <c r="J83" s="376"/>
      <c r="Q83" s="66"/>
      <c r="R83" s="66"/>
      <c r="V83" s="66"/>
      <c r="W83" s="66"/>
    </row>
    <row r="84" spans="6:23" ht="12.75" customHeight="1">
      <c r="F84" s="66"/>
      <c r="G84" s="66"/>
      <c r="H84" s="66"/>
      <c r="I84" s="66"/>
      <c r="J84" s="376"/>
      <c r="Q84" s="66"/>
      <c r="R84" s="66"/>
      <c r="V84" s="66"/>
      <c r="W84" s="66"/>
    </row>
    <row r="85" spans="6:23" ht="12.75" customHeight="1">
      <c r="F85" s="66"/>
      <c r="G85" s="66"/>
      <c r="H85" s="66"/>
      <c r="I85" s="66"/>
      <c r="J85" s="376"/>
      <c r="Q85" s="66"/>
      <c r="R85" s="66"/>
      <c r="V85" s="66"/>
      <c r="W85" s="66"/>
    </row>
    <row r="86" spans="6:23" ht="12.75" customHeight="1">
      <c r="F86" s="66"/>
      <c r="G86" s="66"/>
      <c r="H86" s="66"/>
      <c r="I86" s="66"/>
      <c r="J86" s="376"/>
      <c r="Q86" s="66"/>
      <c r="R86" s="66"/>
      <c r="V86" s="66"/>
      <c r="W86" s="66"/>
    </row>
    <row r="87" spans="6:23" ht="12.75" customHeight="1">
      <c r="F87" s="66"/>
      <c r="G87" s="66"/>
      <c r="H87" s="66"/>
      <c r="I87" s="66"/>
      <c r="J87" s="376"/>
      <c r="Q87" s="66"/>
      <c r="R87" s="66"/>
      <c r="V87" s="66"/>
      <c r="W87" s="66"/>
    </row>
    <row r="88" spans="6:23" ht="12.75" customHeight="1">
      <c r="F88" s="66"/>
      <c r="G88" s="66"/>
      <c r="H88" s="66"/>
      <c r="I88" s="66"/>
      <c r="J88" s="376"/>
      <c r="Q88" s="66"/>
      <c r="R88" s="66"/>
      <c r="V88" s="66"/>
      <c r="W88" s="66"/>
    </row>
    <row r="89" spans="6:23" ht="12.75" customHeight="1">
      <c r="F89" s="66"/>
      <c r="G89" s="66"/>
      <c r="H89" s="66"/>
      <c r="I89" s="66"/>
      <c r="J89" s="376"/>
      <c r="Q89" s="66"/>
      <c r="R89" s="66"/>
      <c r="V89" s="66"/>
      <c r="W89" s="66"/>
    </row>
    <row r="90" spans="6:23" ht="12.75" customHeight="1">
      <c r="F90" s="66"/>
      <c r="G90" s="66"/>
      <c r="H90" s="66"/>
      <c r="I90" s="66"/>
      <c r="J90" s="376"/>
      <c r="Q90" s="66"/>
      <c r="R90" s="66"/>
      <c r="V90" s="66"/>
      <c r="W90" s="66"/>
    </row>
    <row r="91" spans="6:23" ht="12.75" customHeight="1">
      <c r="F91" s="66"/>
      <c r="G91" s="66"/>
      <c r="H91" s="66"/>
      <c r="I91" s="66"/>
      <c r="J91" s="376"/>
      <c r="Q91" s="66"/>
      <c r="R91" s="66"/>
      <c r="V91" s="66"/>
      <c r="W91" s="66"/>
    </row>
    <row r="92" spans="6:23" ht="12.75" customHeight="1">
      <c r="F92" s="66"/>
      <c r="G92" s="66"/>
      <c r="H92" s="66"/>
      <c r="I92" s="66"/>
      <c r="J92" s="376"/>
      <c r="Q92" s="66"/>
      <c r="R92" s="66"/>
      <c r="V92" s="66"/>
      <c r="W92" s="66"/>
    </row>
    <row r="93" spans="6:23" ht="12.75" customHeight="1">
      <c r="F93" s="66"/>
      <c r="G93" s="66"/>
      <c r="H93" s="66"/>
      <c r="I93" s="66"/>
      <c r="J93" s="376"/>
      <c r="Q93" s="66"/>
      <c r="R93" s="66"/>
      <c r="V93" s="66"/>
      <c r="W93" s="66"/>
    </row>
    <row r="94" spans="6:23" ht="12.75" customHeight="1">
      <c r="F94" s="66"/>
      <c r="G94" s="66"/>
      <c r="H94" s="66"/>
      <c r="I94" s="66"/>
      <c r="J94" s="376"/>
      <c r="Q94" s="66"/>
      <c r="R94" s="66"/>
      <c r="V94" s="66"/>
      <c r="W94" s="66"/>
    </row>
    <row r="95" spans="6:23" ht="12.75" customHeight="1">
      <c r="F95" s="66"/>
      <c r="G95" s="66"/>
      <c r="H95" s="66"/>
      <c r="I95" s="66"/>
      <c r="J95" s="376"/>
      <c r="Q95" s="66"/>
      <c r="R95" s="66"/>
      <c r="V95" s="66"/>
      <c r="W95" s="66"/>
    </row>
    <row r="96" spans="6:23" ht="12.75" customHeight="1">
      <c r="F96" s="66"/>
      <c r="G96" s="66"/>
      <c r="H96" s="66"/>
      <c r="I96" s="66"/>
      <c r="J96" s="376"/>
      <c r="Q96" s="66"/>
      <c r="R96" s="66"/>
      <c r="V96" s="66"/>
      <c r="W96" s="66"/>
    </row>
    <row r="97" spans="6:23" ht="12.75" customHeight="1">
      <c r="F97" s="66"/>
      <c r="G97" s="66"/>
      <c r="H97" s="66"/>
      <c r="I97" s="66"/>
      <c r="J97" s="376"/>
      <c r="Q97" s="66"/>
      <c r="R97" s="66"/>
      <c r="V97" s="66"/>
      <c r="W97" s="66"/>
    </row>
    <row r="98" spans="6:23" ht="12.75" customHeight="1">
      <c r="F98" s="66"/>
      <c r="G98" s="66"/>
      <c r="H98" s="66"/>
      <c r="I98" s="66"/>
      <c r="J98" s="376"/>
      <c r="Q98" s="66"/>
      <c r="R98" s="66"/>
      <c r="V98" s="66"/>
      <c r="W98" s="66"/>
    </row>
    <row r="99" spans="6:23" ht="12.75" customHeight="1">
      <c r="F99" s="66"/>
      <c r="G99" s="66"/>
      <c r="H99" s="66"/>
      <c r="I99" s="66"/>
      <c r="J99" s="376"/>
      <c r="Q99" s="66"/>
      <c r="R99" s="66"/>
      <c r="V99" s="66"/>
      <c r="W99" s="66"/>
    </row>
    <row r="100" spans="6:23" ht="12.75" customHeight="1">
      <c r="F100" s="66"/>
      <c r="G100" s="66"/>
      <c r="H100" s="66"/>
      <c r="I100" s="66"/>
      <c r="J100" s="376"/>
      <c r="Q100" s="66"/>
      <c r="R100" s="66"/>
      <c r="V100" s="66"/>
      <c r="W100" s="66"/>
    </row>
    <row r="101" spans="6:23" ht="12.75" customHeight="1">
      <c r="F101" s="66"/>
      <c r="G101" s="66"/>
      <c r="H101" s="66"/>
      <c r="I101" s="66"/>
      <c r="J101" s="376"/>
      <c r="Q101" s="66"/>
      <c r="R101" s="66"/>
      <c r="V101" s="66"/>
      <c r="W101" s="66"/>
    </row>
    <row r="102" spans="6:23" ht="12.75" customHeight="1">
      <c r="F102" s="66"/>
      <c r="G102" s="66"/>
      <c r="H102" s="66"/>
      <c r="I102" s="66"/>
      <c r="J102" s="376"/>
      <c r="Q102" s="66"/>
      <c r="R102" s="66"/>
      <c r="V102" s="66"/>
      <c r="W102" s="66"/>
    </row>
    <row r="103" spans="6:23" ht="12.75" customHeight="1">
      <c r="F103" s="66"/>
      <c r="G103" s="66"/>
      <c r="H103" s="66"/>
      <c r="I103" s="66"/>
      <c r="J103" s="376"/>
      <c r="Q103" s="66"/>
      <c r="R103" s="66"/>
      <c r="V103" s="66"/>
      <c r="W103" s="66"/>
    </row>
    <row r="104" spans="6:23" ht="12.75" customHeight="1">
      <c r="F104" s="66"/>
      <c r="G104" s="66"/>
      <c r="H104" s="66"/>
      <c r="I104" s="66"/>
      <c r="J104" s="376"/>
      <c r="Q104" s="66"/>
      <c r="R104" s="66"/>
      <c r="V104" s="66"/>
      <c r="W104" s="66"/>
    </row>
    <row r="105" spans="6:23" ht="12.75" customHeight="1">
      <c r="F105" s="66"/>
      <c r="G105" s="66"/>
      <c r="H105" s="66"/>
      <c r="I105" s="66"/>
      <c r="J105" s="376"/>
      <c r="Q105" s="66"/>
      <c r="R105" s="66"/>
      <c r="V105" s="66"/>
      <c r="W105" s="66"/>
    </row>
    <row r="106" spans="6:23" ht="12.75" customHeight="1">
      <c r="F106" s="66"/>
      <c r="G106" s="66"/>
      <c r="H106" s="66"/>
      <c r="I106" s="66"/>
      <c r="J106" s="376"/>
      <c r="Q106" s="66"/>
      <c r="R106" s="66"/>
      <c r="V106" s="66"/>
      <c r="W106" s="66"/>
    </row>
    <row r="107" spans="6:23" ht="12.75" customHeight="1">
      <c r="F107" s="66"/>
      <c r="G107" s="66"/>
      <c r="H107" s="66"/>
      <c r="I107" s="66"/>
      <c r="J107" s="376"/>
      <c r="Q107" s="66"/>
      <c r="R107" s="66"/>
      <c r="V107" s="66"/>
      <c r="W107" s="66"/>
    </row>
    <row r="108" spans="6:23" ht="12.75" customHeight="1">
      <c r="F108" s="66"/>
      <c r="G108" s="66"/>
      <c r="H108" s="66"/>
      <c r="I108" s="66"/>
      <c r="J108" s="376"/>
      <c r="Q108" s="66"/>
      <c r="R108" s="66"/>
      <c r="V108" s="66"/>
      <c r="W108" s="66"/>
    </row>
    <row r="109" spans="6:23" ht="12.75" customHeight="1">
      <c r="F109" s="66"/>
      <c r="G109" s="66"/>
      <c r="H109" s="66"/>
      <c r="I109" s="66"/>
      <c r="J109" s="376"/>
      <c r="Q109" s="66"/>
      <c r="R109" s="66"/>
      <c r="V109" s="66"/>
      <c r="W109" s="66"/>
    </row>
    <row r="110" spans="6:23" ht="12.75" customHeight="1">
      <c r="F110" s="66"/>
      <c r="G110" s="66"/>
      <c r="H110" s="66"/>
      <c r="I110" s="66"/>
      <c r="J110" s="376"/>
      <c r="Q110" s="66"/>
      <c r="R110" s="66"/>
      <c r="V110" s="66"/>
      <c r="W110" s="66"/>
    </row>
    <row r="111" spans="6:23" ht="12.75" customHeight="1">
      <c r="F111" s="66"/>
      <c r="G111" s="66"/>
      <c r="H111" s="66"/>
      <c r="I111" s="66"/>
      <c r="J111" s="376"/>
      <c r="Q111" s="66"/>
      <c r="R111" s="66"/>
      <c r="V111" s="66"/>
      <c r="W111" s="66"/>
    </row>
    <row r="112" spans="6:23" ht="12.75" customHeight="1">
      <c r="F112" s="66"/>
      <c r="G112" s="66"/>
      <c r="H112" s="66"/>
      <c r="I112" s="66"/>
      <c r="J112" s="376"/>
      <c r="Q112" s="66"/>
      <c r="R112" s="66"/>
      <c r="V112" s="66"/>
      <c r="W112" s="66"/>
    </row>
    <row r="113" spans="6:23" ht="12.75" customHeight="1">
      <c r="F113" s="66"/>
      <c r="G113" s="66"/>
      <c r="H113" s="66"/>
      <c r="I113" s="66"/>
      <c r="J113" s="376"/>
      <c r="Q113" s="66"/>
      <c r="R113" s="66"/>
      <c r="V113" s="66"/>
      <c r="W113" s="66"/>
    </row>
    <row r="114" spans="6:23" ht="12.75" customHeight="1">
      <c r="F114" s="66"/>
      <c r="G114" s="66"/>
      <c r="H114" s="66"/>
      <c r="I114" s="66"/>
      <c r="J114" s="376"/>
      <c r="Q114" s="66"/>
      <c r="R114" s="66"/>
      <c r="V114" s="66"/>
      <c r="W114" s="66"/>
    </row>
    <row r="115" spans="6:23" ht="12.75" customHeight="1">
      <c r="F115" s="66"/>
      <c r="G115" s="66"/>
      <c r="H115" s="66"/>
      <c r="I115" s="66"/>
      <c r="J115" s="376"/>
      <c r="Q115" s="66"/>
      <c r="R115" s="66"/>
      <c r="V115" s="66"/>
      <c r="W115" s="66"/>
    </row>
    <row r="116" spans="6:23" ht="12.75" customHeight="1">
      <c r="F116" s="66"/>
      <c r="G116" s="66"/>
      <c r="H116" s="66"/>
      <c r="I116" s="66"/>
      <c r="J116" s="376"/>
      <c r="Q116" s="66"/>
      <c r="R116" s="66"/>
      <c r="V116" s="66"/>
      <c r="W116" s="66"/>
    </row>
    <row r="117" spans="6:23" ht="12.75" customHeight="1">
      <c r="F117" s="66"/>
      <c r="G117" s="66"/>
      <c r="H117" s="66"/>
      <c r="I117" s="66"/>
      <c r="J117" s="376"/>
      <c r="Q117" s="66"/>
      <c r="R117" s="66"/>
      <c r="V117" s="66"/>
      <c r="W117" s="66"/>
    </row>
    <row r="118" spans="6:23" ht="12.75" customHeight="1">
      <c r="F118" s="66"/>
      <c r="G118" s="66"/>
      <c r="H118" s="66"/>
      <c r="I118" s="66"/>
      <c r="J118" s="376"/>
      <c r="Q118" s="66"/>
      <c r="R118" s="66"/>
      <c r="V118" s="66"/>
      <c r="W118" s="66"/>
    </row>
    <row r="119" spans="6:23" ht="12.75" customHeight="1">
      <c r="F119" s="66"/>
      <c r="G119" s="66"/>
      <c r="H119" s="66"/>
      <c r="I119" s="66"/>
      <c r="J119" s="376"/>
      <c r="Q119" s="66"/>
      <c r="R119" s="66"/>
      <c r="V119" s="66"/>
      <c r="W119" s="66"/>
    </row>
    <row r="120" spans="6:23" ht="12.75" customHeight="1">
      <c r="F120" s="66"/>
      <c r="G120" s="66"/>
      <c r="H120" s="66"/>
      <c r="I120" s="66"/>
      <c r="J120" s="376"/>
      <c r="Q120" s="66"/>
      <c r="R120" s="66"/>
      <c r="V120" s="66"/>
      <c r="W120" s="66"/>
    </row>
    <row r="121" spans="6:23" ht="12.75" customHeight="1">
      <c r="F121" s="66"/>
      <c r="G121" s="66"/>
      <c r="H121" s="66"/>
      <c r="I121" s="66"/>
      <c r="J121" s="376"/>
      <c r="Q121" s="66"/>
      <c r="R121" s="66"/>
      <c r="V121" s="66"/>
      <c r="W121" s="66"/>
    </row>
    <row r="122" spans="6:23" ht="12.75" customHeight="1">
      <c r="F122" s="66"/>
      <c r="G122" s="66"/>
      <c r="H122" s="66"/>
      <c r="I122" s="66"/>
      <c r="J122" s="376"/>
      <c r="Q122" s="66"/>
      <c r="R122" s="66"/>
      <c r="V122" s="66"/>
      <c r="W122" s="66"/>
    </row>
    <row r="123" spans="6:23" ht="12.75" customHeight="1">
      <c r="F123" s="66"/>
      <c r="G123" s="66"/>
      <c r="H123" s="66"/>
      <c r="I123" s="66"/>
      <c r="J123" s="376"/>
      <c r="Q123" s="66"/>
      <c r="R123" s="66"/>
      <c r="V123" s="66"/>
      <c r="W123" s="66"/>
    </row>
    <row r="124" spans="6:23" ht="12.75" customHeight="1">
      <c r="F124" s="66"/>
      <c r="G124" s="66"/>
      <c r="H124" s="66"/>
      <c r="I124" s="66"/>
      <c r="J124" s="376"/>
      <c r="Q124" s="66"/>
      <c r="R124" s="66"/>
      <c r="V124" s="66"/>
      <c r="W124" s="66"/>
    </row>
    <row r="125" spans="6:23" ht="12.75" customHeight="1">
      <c r="F125" s="66"/>
      <c r="G125" s="66"/>
      <c r="H125" s="66"/>
      <c r="I125" s="66"/>
      <c r="J125" s="376"/>
      <c r="Q125" s="66"/>
      <c r="R125" s="66"/>
      <c r="V125" s="66"/>
      <c r="W125" s="66"/>
    </row>
    <row r="126" spans="6:23" ht="12.75" customHeight="1">
      <c r="F126" s="66"/>
      <c r="G126" s="66"/>
      <c r="H126" s="66"/>
      <c r="I126" s="66"/>
      <c r="J126" s="376"/>
      <c r="Q126" s="66"/>
      <c r="R126" s="66"/>
      <c r="V126" s="66"/>
      <c r="W126" s="66"/>
    </row>
    <row r="127" spans="6:23" ht="12.75" customHeight="1">
      <c r="F127" s="66"/>
      <c r="G127" s="66"/>
      <c r="H127" s="66"/>
      <c r="I127" s="66"/>
      <c r="J127" s="376"/>
      <c r="Q127" s="66"/>
      <c r="R127" s="66"/>
      <c r="V127" s="66"/>
      <c r="W127" s="66"/>
    </row>
    <row r="128" spans="6:23" ht="12.75" customHeight="1">
      <c r="F128" s="66"/>
      <c r="G128" s="66"/>
      <c r="H128" s="66"/>
      <c r="I128" s="66"/>
      <c r="J128" s="376"/>
      <c r="Q128" s="66"/>
      <c r="R128" s="66"/>
      <c r="V128" s="66"/>
      <c r="W128" s="66"/>
    </row>
    <row r="129" spans="6:23" ht="12.75" customHeight="1">
      <c r="F129" s="66"/>
      <c r="G129" s="66"/>
      <c r="H129" s="66"/>
      <c r="I129" s="66"/>
      <c r="J129" s="376"/>
      <c r="Q129" s="66"/>
      <c r="R129" s="66"/>
      <c r="V129" s="66"/>
      <c r="W129" s="66"/>
    </row>
    <row r="130" spans="6:23" ht="12.75" customHeight="1">
      <c r="F130" s="66"/>
      <c r="G130" s="66"/>
      <c r="H130" s="66"/>
      <c r="I130" s="66"/>
      <c r="J130" s="376"/>
      <c r="Q130" s="66"/>
      <c r="R130" s="66"/>
      <c r="V130" s="66"/>
      <c r="W130" s="66"/>
    </row>
    <row r="131" spans="6:23" ht="12.75" customHeight="1">
      <c r="F131" s="66"/>
      <c r="G131" s="66"/>
      <c r="H131" s="66"/>
      <c r="I131" s="66"/>
      <c r="J131" s="376"/>
      <c r="Q131" s="66"/>
      <c r="R131" s="66"/>
      <c r="V131" s="66"/>
      <c r="W131" s="66"/>
    </row>
    <row r="132" spans="6:23" ht="12.75" customHeight="1">
      <c r="F132" s="66"/>
      <c r="G132" s="66"/>
      <c r="H132" s="66"/>
      <c r="I132" s="66"/>
      <c r="J132" s="376"/>
      <c r="Q132" s="66"/>
      <c r="R132" s="66"/>
      <c r="V132" s="66"/>
      <c r="W132" s="66"/>
    </row>
    <row r="133" spans="6:23" ht="12.75" customHeight="1">
      <c r="F133" s="66"/>
      <c r="G133" s="66"/>
      <c r="H133" s="66"/>
      <c r="I133" s="66"/>
      <c r="J133" s="376"/>
      <c r="Q133" s="66"/>
      <c r="R133" s="66"/>
      <c r="V133" s="66"/>
      <c r="W133" s="66"/>
    </row>
    <row r="134" spans="6:23" ht="12.75" customHeight="1">
      <c r="F134" s="66"/>
      <c r="G134" s="66"/>
      <c r="H134" s="66"/>
      <c r="I134" s="66"/>
      <c r="J134" s="376"/>
      <c r="Q134" s="66"/>
      <c r="R134" s="66"/>
      <c r="V134" s="66"/>
      <c r="W134" s="66"/>
    </row>
    <row r="135" spans="6:23" ht="12.75" customHeight="1">
      <c r="F135" s="66"/>
      <c r="G135" s="66"/>
      <c r="H135" s="66"/>
      <c r="I135" s="66"/>
      <c r="J135" s="376"/>
      <c r="Q135" s="66"/>
      <c r="R135" s="66"/>
      <c r="V135" s="66"/>
      <c r="W135" s="66"/>
    </row>
    <row r="136" spans="6:23" ht="12.75" customHeight="1">
      <c r="F136" s="66"/>
      <c r="G136" s="66"/>
      <c r="H136" s="66"/>
      <c r="I136" s="66"/>
      <c r="J136" s="376"/>
      <c r="Q136" s="66"/>
      <c r="R136" s="66"/>
      <c r="V136" s="66"/>
      <c r="W136" s="66"/>
    </row>
    <row r="137" spans="6:23" ht="12.75" customHeight="1">
      <c r="F137" s="66"/>
      <c r="G137" s="66"/>
      <c r="H137" s="66"/>
      <c r="I137" s="66"/>
      <c r="J137" s="376"/>
      <c r="Q137" s="66"/>
      <c r="R137" s="66"/>
      <c r="V137" s="66"/>
      <c r="W137" s="66"/>
    </row>
    <row r="138" spans="6:23" ht="12.75" customHeight="1">
      <c r="F138" s="66"/>
      <c r="G138" s="66"/>
      <c r="H138" s="66"/>
      <c r="I138" s="66"/>
      <c r="J138" s="376"/>
      <c r="Q138" s="66"/>
      <c r="R138" s="66"/>
      <c r="V138" s="66"/>
      <c r="W138" s="66"/>
    </row>
    <row r="139" spans="6:23" ht="12.75" customHeight="1">
      <c r="F139" s="66"/>
      <c r="G139" s="66"/>
      <c r="H139" s="66"/>
      <c r="I139" s="66"/>
      <c r="J139" s="376"/>
      <c r="Q139" s="66"/>
      <c r="R139" s="66"/>
      <c r="V139" s="66"/>
      <c r="W139" s="66"/>
    </row>
    <row r="140" spans="6:23" ht="12.75" customHeight="1">
      <c r="F140" s="66"/>
      <c r="G140" s="66"/>
      <c r="H140" s="66"/>
      <c r="I140" s="66"/>
      <c r="J140" s="376"/>
      <c r="Q140" s="66"/>
      <c r="R140" s="66"/>
      <c r="V140" s="66"/>
      <c r="W140" s="66"/>
    </row>
    <row r="141" spans="6:23" ht="12.75" customHeight="1">
      <c r="F141" s="66"/>
      <c r="G141" s="66"/>
      <c r="H141" s="66"/>
      <c r="I141" s="66"/>
      <c r="J141" s="376"/>
      <c r="Q141" s="66"/>
      <c r="R141" s="66"/>
      <c r="V141" s="66"/>
      <c r="W141" s="66"/>
    </row>
    <row r="142" spans="6:23" ht="12.75" customHeight="1">
      <c r="F142" s="66"/>
      <c r="G142" s="66"/>
      <c r="H142" s="66"/>
      <c r="I142" s="66"/>
      <c r="J142" s="376"/>
      <c r="Q142" s="66"/>
      <c r="R142" s="66"/>
      <c r="V142" s="66"/>
      <c r="W142" s="66"/>
    </row>
    <row r="143" spans="6:23" ht="12.75" customHeight="1">
      <c r="F143" s="66"/>
      <c r="G143" s="66"/>
      <c r="H143" s="66"/>
      <c r="I143" s="66"/>
      <c r="J143" s="376"/>
      <c r="Q143" s="66"/>
      <c r="R143" s="66"/>
      <c r="V143" s="66"/>
      <c r="W143" s="66"/>
    </row>
    <row r="144" spans="6:23" ht="12.75" customHeight="1">
      <c r="F144" s="66"/>
      <c r="G144" s="66"/>
      <c r="H144" s="66"/>
      <c r="I144" s="66"/>
      <c r="J144" s="376"/>
      <c r="Q144" s="66"/>
      <c r="R144" s="66"/>
      <c r="V144" s="66"/>
      <c r="W144" s="66"/>
    </row>
    <row r="145" spans="6:23" ht="12.75" customHeight="1">
      <c r="F145" s="66"/>
      <c r="G145" s="66"/>
      <c r="H145" s="66"/>
      <c r="I145" s="66"/>
      <c r="J145" s="376"/>
      <c r="Q145" s="66"/>
      <c r="R145" s="66"/>
      <c r="V145" s="66"/>
      <c r="W145" s="66"/>
    </row>
    <row r="146" spans="6:23" ht="12.75" customHeight="1">
      <c r="F146" s="66"/>
      <c r="G146" s="66"/>
      <c r="H146" s="66"/>
      <c r="I146" s="66"/>
      <c r="J146" s="376"/>
      <c r="Q146" s="66"/>
      <c r="R146" s="66"/>
      <c r="V146" s="66"/>
      <c r="W146" s="66"/>
    </row>
    <row r="147" spans="6:23" ht="12.75" customHeight="1">
      <c r="F147" s="66"/>
      <c r="G147" s="66"/>
      <c r="H147" s="66"/>
      <c r="I147" s="66"/>
      <c r="J147" s="376"/>
      <c r="Q147" s="66"/>
      <c r="R147" s="66"/>
      <c r="V147" s="66"/>
      <c r="W147" s="66"/>
    </row>
    <row r="148" spans="6:23" ht="12.75" customHeight="1">
      <c r="F148" s="66"/>
      <c r="G148" s="66"/>
      <c r="H148" s="66"/>
      <c r="I148" s="66"/>
      <c r="J148" s="376"/>
      <c r="Q148" s="66"/>
      <c r="R148" s="66"/>
      <c r="V148" s="66"/>
      <c r="W148" s="66"/>
    </row>
    <row r="149" spans="6:23" ht="12.75" customHeight="1">
      <c r="F149" s="66"/>
      <c r="G149" s="66"/>
      <c r="H149" s="66"/>
      <c r="I149" s="66"/>
      <c r="J149" s="376"/>
      <c r="Q149" s="66"/>
      <c r="R149" s="66"/>
      <c r="V149" s="66"/>
      <c r="W149" s="66"/>
    </row>
    <row r="150" spans="6:23" ht="12.75" customHeight="1">
      <c r="F150" s="66"/>
      <c r="G150" s="66"/>
      <c r="H150" s="66"/>
      <c r="I150" s="66"/>
      <c r="J150" s="376"/>
      <c r="Q150" s="66"/>
      <c r="R150" s="66"/>
      <c r="V150" s="66"/>
      <c r="W150" s="66"/>
    </row>
    <row r="151" spans="6:23" ht="12.75" customHeight="1">
      <c r="F151" s="66"/>
      <c r="G151" s="66"/>
      <c r="H151" s="66"/>
      <c r="I151" s="66"/>
      <c r="J151" s="376"/>
      <c r="Q151" s="66"/>
      <c r="R151" s="66"/>
      <c r="V151" s="66"/>
      <c r="W151" s="66"/>
    </row>
    <row r="152" spans="6:23" ht="12.75" customHeight="1">
      <c r="F152" s="66"/>
      <c r="G152" s="66"/>
      <c r="H152" s="66"/>
      <c r="I152" s="66"/>
      <c r="J152" s="376"/>
      <c r="Q152" s="66"/>
      <c r="R152" s="66"/>
      <c r="V152" s="66"/>
      <c r="W152" s="66"/>
    </row>
    <row r="153" spans="6:23" ht="12.75" customHeight="1">
      <c r="F153" s="66"/>
      <c r="G153" s="66"/>
      <c r="H153" s="66"/>
      <c r="I153" s="66"/>
      <c r="J153" s="376"/>
      <c r="Q153" s="66"/>
      <c r="R153" s="66"/>
      <c r="V153" s="66"/>
      <c r="W153" s="66"/>
    </row>
    <row r="154" spans="6:23" ht="12.75" customHeight="1">
      <c r="F154" s="66"/>
      <c r="G154" s="66"/>
      <c r="H154" s="66"/>
      <c r="I154" s="66"/>
      <c r="J154" s="376"/>
      <c r="Q154" s="66"/>
      <c r="R154" s="66"/>
      <c r="V154" s="66"/>
      <c r="W154" s="66"/>
    </row>
    <row r="155" spans="6:23" ht="12.75" customHeight="1">
      <c r="F155" s="66"/>
      <c r="G155" s="66"/>
      <c r="H155" s="66"/>
      <c r="I155" s="66"/>
      <c r="J155" s="376"/>
      <c r="Q155" s="66"/>
      <c r="R155" s="66"/>
      <c r="V155" s="66"/>
      <c r="W155" s="66"/>
    </row>
    <row r="156" spans="6:23" ht="12.75" customHeight="1">
      <c r="F156" s="66"/>
      <c r="G156" s="66"/>
      <c r="H156" s="66"/>
      <c r="I156" s="66"/>
      <c r="J156" s="376"/>
      <c r="Q156" s="66"/>
      <c r="R156" s="66"/>
      <c r="V156" s="66"/>
      <c r="W156" s="66"/>
    </row>
    <row r="157" spans="6:23" ht="12.75" customHeight="1">
      <c r="F157" s="66"/>
      <c r="G157" s="66"/>
      <c r="H157" s="66"/>
      <c r="I157" s="66"/>
      <c r="J157" s="376"/>
      <c r="Q157" s="66"/>
      <c r="R157" s="66"/>
      <c r="V157" s="66"/>
      <c r="W157" s="66"/>
    </row>
    <row r="158" spans="6:23" ht="12.75" customHeight="1">
      <c r="F158" s="66"/>
      <c r="G158" s="66"/>
      <c r="H158" s="66"/>
      <c r="I158" s="66"/>
      <c r="J158" s="376"/>
      <c r="Q158" s="66"/>
      <c r="R158" s="66"/>
      <c r="V158" s="66"/>
      <c r="W158" s="66"/>
    </row>
    <row r="159" spans="6:23" ht="12.75" customHeight="1">
      <c r="F159" s="66"/>
      <c r="G159" s="66"/>
      <c r="H159" s="66"/>
      <c r="I159" s="66"/>
      <c r="J159" s="376"/>
      <c r="Q159" s="66"/>
      <c r="R159" s="66"/>
      <c r="V159" s="66"/>
      <c r="W159" s="66"/>
    </row>
    <row r="160" spans="6:23" ht="12.75" customHeight="1">
      <c r="F160" s="66"/>
      <c r="G160" s="66"/>
      <c r="H160" s="66"/>
      <c r="I160" s="66"/>
      <c r="J160" s="376"/>
      <c r="Q160" s="66"/>
      <c r="R160" s="66"/>
      <c r="V160" s="66"/>
      <c r="W160" s="66"/>
    </row>
    <row r="161" spans="6:23" ht="12.75" customHeight="1">
      <c r="F161" s="66"/>
      <c r="G161" s="66"/>
      <c r="H161" s="66"/>
      <c r="I161" s="66"/>
      <c r="J161" s="376"/>
      <c r="Q161" s="66"/>
      <c r="R161" s="66"/>
      <c r="V161" s="66"/>
      <c r="W161" s="66"/>
    </row>
    <row r="162" spans="6:23" ht="12.75" customHeight="1">
      <c r="F162" s="66"/>
      <c r="G162" s="66"/>
      <c r="H162" s="66"/>
      <c r="I162" s="66"/>
      <c r="J162" s="376"/>
      <c r="Q162" s="66"/>
      <c r="R162" s="66"/>
      <c r="V162" s="66"/>
      <c r="W162" s="66"/>
    </row>
    <row r="163" spans="6:23" ht="12.75" customHeight="1">
      <c r="F163" s="66"/>
      <c r="G163" s="66"/>
      <c r="H163" s="66"/>
      <c r="I163" s="66"/>
      <c r="J163" s="376"/>
      <c r="Q163" s="66"/>
      <c r="R163" s="66"/>
      <c r="V163" s="66"/>
      <c r="W163" s="66"/>
    </row>
    <row r="164" spans="6:23" ht="12.75" customHeight="1">
      <c r="F164" s="66"/>
      <c r="G164" s="66"/>
      <c r="H164" s="66"/>
      <c r="I164" s="66"/>
      <c r="J164" s="376"/>
      <c r="Q164" s="66"/>
      <c r="R164" s="66"/>
      <c r="V164" s="66"/>
      <c r="W164" s="66"/>
    </row>
    <row r="165" spans="6:23" ht="12.75" customHeight="1">
      <c r="F165" s="66"/>
      <c r="G165" s="66"/>
      <c r="H165" s="66"/>
      <c r="I165" s="66"/>
      <c r="J165" s="376"/>
      <c r="Q165" s="66"/>
      <c r="R165" s="66"/>
      <c r="V165" s="66"/>
      <c r="W165" s="66"/>
    </row>
    <row r="166" spans="6:23" ht="12.75" customHeight="1">
      <c r="F166" s="66"/>
      <c r="G166" s="66"/>
      <c r="H166" s="66"/>
      <c r="I166" s="66"/>
      <c r="J166" s="376"/>
      <c r="Q166" s="66"/>
      <c r="R166" s="66"/>
      <c r="V166" s="66"/>
      <c r="W166" s="66"/>
    </row>
    <row r="167" spans="6:23" ht="12.75" customHeight="1">
      <c r="F167" s="66"/>
      <c r="G167" s="66"/>
      <c r="H167" s="66"/>
      <c r="I167" s="66"/>
      <c r="J167" s="376"/>
      <c r="Q167" s="66"/>
      <c r="R167" s="66"/>
      <c r="V167" s="66"/>
      <c r="W167" s="66"/>
    </row>
    <row r="168" spans="6:23" ht="12.75" customHeight="1">
      <c r="F168" s="66"/>
      <c r="G168" s="66"/>
      <c r="H168" s="66"/>
      <c r="I168" s="66"/>
      <c r="J168" s="376"/>
      <c r="Q168" s="66"/>
      <c r="R168" s="66"/>
      <c r="V168" s="66"/>
      <c r="W168" s="66"/>
    </row>
    <row r="169" spans="6:23" ht="12.75" customHeight="1">
      <c r="F169" s="66"/>
      <c r="G169" s="66"/>
      <c r="H169" s="66"/>
      <c r="I169" s="66"/>
      <c r="J169" s="376"/>
      <c r="Q169" s="66"/>
      <c r="R169" s="66"/>
      <c r="V169" s="66"/>
      <c r="W169" s="66"/>
    </row>
    <row r="170" spans="6:23" ht="12.75" customHeight="1">
      <c r="F170" s="66"/>
      <c r="G170" s="66"/>
      <c r="H170" s="66"/>
      <c r="I170" s="66"/>
      <c r="J170" s="376"/>
      <c r="Q170" s="66"/>
      <c r="R170" s="66"/>
      <c r="V170" s="66"/>
      <c r="W170" s="66"/>
    </row>
    <row r="171" spans="6:23" ht="12.75" customHeight="1">
      <c r="F171" s="66"/>
      <c r="G171" s="66"/>
      <c r="H171" s="66"/>
      <c r="I171" s="66"/>
      <c r="J171" s="376"/>
      <c r="Q171" s="66"/>
      <c r="R171" s="66"/>
      <c r="V171" s="66"/>
      <c r="W171" s="66"/>
    </row>
    <row r="172" spans="6:23" ht="12.75" customHeight="1">
      <c r="F172" s="66"/>
      <c r="G172" s="66"/>
      <c r="H172" s="66"/>
      <c r="I172" s="66"/>
      <c r="J172" s="376"/>
      <c r="Q172" s="66"/>
      <c r="R172" s="66"/>
      <c r="V172" s="66"/>
      <c r="W172" s="66"/>
    </row>
    <row r="173" spans="6:23" ht="12.75" customHeight="1">
      <c r="F173" s="66"/>
      <c r="G173" s="66"/>
      <c r="H173" s="66"/>
      <c r="I173" s="66"/>
      <c r="J173" s="376"/>
      <c r="Q173" s="66"/>
      <c r="R173" s="66"/>
      <c r="V173" s="66"/>
      <c r="W173" s="66"/>
    </row>
    <row r="174" spans="6:23" ht="12.75" customHeight="1">
      <c r="F174" s="66"/>
      <c r="G174" s="66"/>
      <c r="H174" s="66"/>
      <c r="I174" s="66"/>
      <c r="J174" s="376"/>
      <c r="Q174" s="66"/>
      <c r="R174" s="66"/>
      <c r="V174" s="66"/>
      <c r="W174" s="66"/>
    </row>
    <row r="175" spans="6:23" ht="12.75" customHeight="1">
      <c r="F175" s="66"/>
      <c r="G175" s="66"/>
      <c r="H175" s="66"/>
      <c r="I175" s="66"/>
      <c r="J175" s="376"/>
      <c r="Q175" s="66"/>
      <c r="R175" s="66"/>
      <c r="V175" s="66"/>
      <c r="W175" s="66"/>
    </row>
    <row r="176" spans="6:23" ht="12.75" customHeight="1">
      <c r="F176" s="66"/>
      <c r="G176" s="66"/>
      <c r="H176" s="66"/>
      <c r="I176" s="66"/>
      <c r="J176" s="376"/>
      <c r="Q176" s="66"/>
      <c r="R176" s="66"/>
      <c r="V176" s="66"/>
      <c r="W176" s="66"/>
    </row>
    <row r="177" spans="6:23" ht="12.75" customHeight="1">
      <c r="F177" s="66"/>
      <c r="G177" s="66"/>
      <c r="H177" s="66"/>
      <c r="I177" s="66"/>
      <c r="J177" s="376"/>
      <c r="Q177" s="66"/>
      <c r="R177" s="66"/>
      <c r="V177" s="66"/>
      <c r="W177" s="66"/>
    </row>
    <row r="178" spans="6:23" ht="12.75" customHeight="1">
      <c r="F178" s="66"/>
      <c r="G178" s="66"/>
      <c r="H178" s="66"/>
      <c r="I178" s="66"/>
      <c r="J178" s="376"/>
      <c r="Q178" s="66"/>
      <c r="R178" s="66"/>
      <c r="V178" s="66"/>
      <c r="W178" s="66"/>
    </row>
    <row r="179" spans="6:23" ht="12.75" customHeight="1">
      <c r="F179" s="66"/>
      <c r="G179" s="66"/>
      <c r="H179" s="66"/>
      <c r="I179" s="66"/>
      <c r="J179" s="376"/>
      <c r="Q179" s="66"/>
      <c r="R179" s="66"/>
      <c r="V179" s="66"/>
      <c r="W179" s="66"/>
    </row>
    <row r="180" spans="6:23" ht="12.75" customHeight="1">
      <c r="F180" s="66"/>
      <c r="G180" s="66"/>
      <c r="H180" s="66"/>
      <c r="I180" s="66"/>
      <c r="J180" s="376"/>
      <c r="Q180" s="66"/>
      <c r="R180" s="66"/>
      <c r="V180" s="66"/>
      <c r="W180" s="66"/>
    </row>
    <row r="181" spans="6:23" ht="12.75" customHeight="1">
      <c r="F181" s="66"/>
      <c r="G181" s="66"/>
      <c r="H181" s="66"/>
      <c r="I181" s="66"/>
      <c r="J181" s="376"/>
      <c r="Q181" s="66"/>
      <c r="R181" s="66"/>
      <c r="V181" s="66"/>
      <c r="W181" s="66"/>
    </row>
    <row r="182" spans="6:23" ht="12.75" customHeight="1">
      <c r="F182" s="66"/>
      <c r="G182" s="66"/>
      <c r="H182" s="66"/>
      <c r="I182" s="66"/>
      <c r="J182" s="376"/>
      <c r="Q182" s="66"/>
      <c r="R182" s="66"/>
      <c r="V182" s="66"/>
      <c r="W182" s="66"/>
    </row>
    <row r="183" spans="6:23" ht="12.75" customHeight="1">
      <c r="F183" s="66"/>
      <c r="G183" s="66"/>
      <c r="H183" s="66"/>
      <c r="I183" s="66"/>
      <c r="J183" s="376"/>
      <c r="Q183" s="66"/>
      <c r="R183" s="66"/>
      <c r="V183" s="66"/>
      <c r="W183" s="66"/>
    </row>
    <row r="184" spans="6:23" ht="12.75" customHeight="1">
      <c r="F184" s="66"/>
      <c r="G184" s="66"/>
      <c r="H184" s="66"/>
      <c r="I184" s="66"/>
      <c r="J184" s="376"/>
      <c r="Q184" s="66"/>
      <c r="R184" s="66"/>
      <c r="V184" s="66"/>
      <c r="W184" s="66"/>
    </row>
    <row r="185" spans="6:23" ht="12.75" customHeight="1">
      <c r="F185" s="66"/>
      <c r="G185" s="66"/>
      <c r="H185" s="66"/>
      <c r="I185" s="66"/>
      <c r="J185" s="376"/>
      <c r="Q185" s="66"/>
      <c r="R185" s="66"/>
      <c r="V185" s="66"/>
      <c r="W185" s="66"/>
    </row>
    <row r="186" spans="6:23" ht="12.75" customHeight="1">
      <c r="F186" s="66"/>
      <c r="G186" s="66"/>
      <c r="H186" s="66"/>
      <c r="I186" s="66"/>
      <c r="J186" s="376"/>
      <c r="Q186" s="66"/>
      <c r="R186" s="66"/>
      <c r="V186" s="66"/>
      <c r="W186" s="66"/>
    </row>
    <row r="187" spans="6:23" ht="12.75" customHeight="1">
      <c r="F187" s="66"/>
      <c r="G187" s="66"/>
      <c r="H187" s="66"/>
      <c r="I187" s="66"/>
      <c r="J187" s="376"/>
      <c r="Q187" s="66"/>
      <c r="R187" s="66"/>
      <c r="V187" s="66"/>
      <c r="W187" s="66"/>
    </row>
    <row r="188" spans="6:23" ht="12.75" customHeight="1">
      <c r="F188" s="66"/>
      <c r="G188" s="66"/>
      <c r="H188" s="66"/>
      <c r="I188" s="66"/>
      <c r="J188" s="376"/>
      <c r="Q188" s="66"/>
      <c r="R188" s="66"/>
      <c r="V188" s="66"/>
      <c r="W188" s="66"/>
    </row>
    <row r="189" spans="6:23" ht="12.75" customHeight="1">
      <c r="F189" s="66"/>
      <c r="G189" s="66"/>
      <c r="H189" s="66"/>
      <c r="I189" s="66"/>
      <c r="J189" s="376"/>
      <c r="Q189" s="66"/>
      <c r="R189" s="66"/>
      <c r="V189" s="66"/>
      <c r="W189" s="66"/>
    </row>
    <row r="190" spans="6:23" ht="12.75" customHeight="1">
      <c r="F190" s="66"/>
      <c r="G190" s="66"/>
      <c r="H190" s="66"/>
      <c r="I190" s="66"/>
      <c r="J190" s="376"/>
      <c r="Q190" s="66"/>
      <c r="R190" s="66"/>
      <c r="V190" s="66"/>
      <c r="W190" s="66"/>
    </row>
    <row r="191" spans="6:23" ht="12.75" customHeight="1">
      <c r="F191" s="66"/>
      <c r="G191" s="66"/>
      <c r="H191" s="66"/>
      <c r="I191" s="66"/>
      <c r="J191" s="376"/>
      <c r="Q191" s="66"/>
      <c r="R191" s="66"/>
      <c r="V191" s="66"/>
      <c r="W191" s="66"/>
    </row>
    <row r="192" spans="6:23" ht="12.75" customHeight="1">
      <c r="F192" s="66"/>
      <c r="G192" s="66"/>
      <c r="H192" s="66"/>
      <c r="I192" s="66"/>
      <c r="J192" s="376"/>
      <c r="Q192" s="66"/>
      <c r="R192" s="66"/>
      <c r="V192" s="66"/>
      <c r="W192" s="66"/>
    </row>
    <row r="193" spans="6:23" ht="12.75" customHeight="1">
      <c r="F193" s="66"/>
      <c r="G193" s="66"/>
      <c r="H193" s="66"/>
      <c r="I193" s="66"/>
      <c r="J193" s="376"/>
      <c r="Q193" s="66"/>
      <c r="R193" s="66"/>
      <c r="V193" s="66"/>
      <c r="W193" s="66"/>
    </row>
    <row r="194" spans="6:23" ht="12.75" customHeight="1">
      <c r="F194" s="66"/>
      <c r="G194" s="66"/>
      <c r="H194" s="66"/>
      <c r="I194" s="66"/>
      <c r="J194" s="376"/>
      <c r="Q194" s="66"/>
      <c r="R194" s="66"/>
      <c r="V194" s="66"/>
      <c r="W194" s="66"/>
    </row>
    <row r="195" spans="6:23" ht="12.75" customHeight="1">
      <c r="F195" s="66"/>
      <c r="G195" s="66"/>
      <c r="H195" s="66"/>
      <c r="I195" s="66"/>
      <c r="J195" s="376"/>
      <c r="Q195" s="66"/>
      <c r="R195" s="66"/>
      <c r="V195" s="66"/>
      <c r="W195" s="66"/>
    </row>
    <row r="196" spans="6:23" ht="12.75" customHeight="1">
      <c r="F196" s="66"/>
      <c r="G196" s="66"/>
      <c r="H196" s="66"/>
      <c r="I196" s="66"/>
      <c r="J196" s="376"/>
      <c r="Q196" s="66"/>
      <c r="R196" s="66"/>
      <c r="V196" s="66"/>
      <c r="W196" s="66"/>
    </row>
    <row r="197" spans="6:23" ht="12.75" customHeight="1">
      <c r="F197" s="66"/>
      <c r="G197" s="66"/>
      <c r="H197" s="66"/>
      <c r="I197" s="66"/>
      <c r="J197" s="376"/>
      <c r="Q197" s="66"/>
      <c r="R197" s="66"/>
      <c r="V197" s="66"/>
      <c r="W197" s="66"/>
    </row>
    <row r="198" spans="6:23" ht="12.75" customHeight="1">
      <c r="F198" s="66"/>
      <c r="G198" s="66"/>
      <c r="H198" s="66"/>
      <c r="I198" s="66"/>
      <c r="J198" s="376"/>
      <c r="Q198" s="66"/>
      <c r="R198" s="66"/>
      <c r="V198" s="66"/>
      <c r="W198" s="66"/>
    </row>
    <row r="199" spans="6:23" ht="12.75" customHeight="1">
      <c r="F199" s="66"/>
      <c r="G199" s="66"/>
      <c r="H199" s="66"/>
      <c r="I199" s="66"/>
      <c r="J199" s="376"/>
      <c r="Q199" s="66"/>
      <c r="R199" s="66"/>
      <c r="V199" s="66"/>
      <c r="W199" s="66"/>
    </row>
    <row r="200" spans="6:23" ht="12.75" customHeight="1">
      <c r="F200" s="66"/>
      <c r="G200" s="66"/>
      <c r="H200" s="66"/>
      <c r="I200" s="66"/>
      <c r="J200" s="376"/>
      <c r="Q200" s="66"/>
      <c r="R200" s="66"/>
      <c r="V200" s="66"/>
      <c r="W200" s="66"/>
    </row>
    <row r="201" spans="6:23" ht="12.75" customHeight="1">
      <c r="F201" s="66"/>
      <c r="G201" s="66"/>
      <c r="H201" s="66"/>
      <c r="I201" s="66"/>
      <c r="J201" s="376"/>
      <c r="Q201" s="66"/>
      <c r="R201" s="66"/>
      <c r="V201" s="66"/>
      <c r="W201" s="66"/>
    </row>
    <row r="202" spans="6:23" ht="12.75" customHeight="1">
      <c r="F202" s="66"/>
      <c r="G202" s="66"/>
      <c r="H202" s="66"/>
      <c r="I202" s="66"/>
      <c r="J202" s="376"/>
      <c r="Q202" s="66"/>
      <c r="R202" s="66"/>
      <c r="V202" s="66"/>
      <c r="W202" s="66"/>
    </row>
    <row r="203" spans="6:23" ht="12.75" customHeight="1">
      <c r="F203" s="66"/>
      <c r="G203" s="66"/>
      <c r="H203" s="66"/>
      <c r="I203" s="66"/>
      <c r="J203" s="376"/>
      <c r="Q203" s="66"/>
      <c r="R203" s="66"/>
      <c r="V203" s="66"/>
      <c r="W203" s="66"/>
    </row>
    <row r="204" spans="6:23" ht="12.75" customHeight="1">
      <c r="F204" s="66"/>
      <c r="G204" s="66"/>
      <c r="H204" s="66"/>
      <c r="I204" s="66"/>
      <c r="J204" s="376"/>
      <c r="Q204" s="66"/>
      <c r="R204" s="66"/>
      <c r="V204" s="66"/>
      <c r="W204" s="66"/>
    </row>
    <row r="205" spans="6:23" ht="12.75" customHeight="1">
      <c r="F205" s="66"/>
      <c r="G205" s="66"/>
      <c r="H205" s="66"/>
      <c r="I205" s="66"/>
      <c r="J205" s="376"/>
      <c r="Q205" s="66"/>
      <c r="R205" s="66"/>
      <c r="V205" s="66"/>
      <c r="W205" s="66"/>
    </row>
    <row r="206" spans="6:23" ht="12.75" customHeight="1">
      <c r="F206" s="66"/>
      <c r="G206" s="66"/>
      <c r="H206" s="66"/>
      <c r="I206" s="66"/>
      <c r="J206" s="376"/>
      <c r="Q206" s="66"/>
      <c r="R206" s="66"/>
      <c r="V206" s="66"/>
      <c r="W206" s="66"/>
    </row>
    <row r="207" spans="6:23" ht="12.75" customHeight="1">
      <c r="F207" s="66"/>
      <c r="G207" s="66"/>
      <c r="H207" s="66"/>
      <c r="I207" s="66"/>
      <c r="J207" s="376"/>
      <c r="Q207" s="66"/>
      <c r="R207" s="66"/>
      <c r="V207" s="66"/>
      <c r="W207" s="66"/>
    </row>
    <row r="208" spans="6:23" ht="12.75" customHeight="1">
      <c r="F208" s="66"/>
      <c r="G208" s="66"/>
      <c r="H208" s="66"/>
      <c r="I208" s="66"/>
      <c r="J208" s="376"/>
      <c r="Q208" s="66"/>
      <c r="R208" s="66"/>
      <c r="V208" s="66"/>
      <c r="W208" s="66"/>
    </row>
    <row r="209" spans="6:23" ht="12.75" customHeight="1">
      <c r="F209" s="66"/>
      <c r="G209" s="66"/>
      <c r="H209" s="66"/>
      <c r="I209" s="66"/>
      <c r="J209" s="376"/>
      <c r="Q209" s="66"/>
      <c r="R209" s="66"/>
      <c r="V209" s="66"/>
      <c r="W209" s="66"/>
    </row>
    <row r="210" spans="6:23" ht="12.75" customHeight="1">
      <c r="F210" s="66"/>
      <c r="G210" s="66"/>
      <c r="H210" s="66"/>
      <c r="I210" s="66"/>
      <c r="J210" s="376"/>
      <c r="Q210" s="66"/>
      <c r="R210" s="66"/>
      <c r="V210" s="66"/>
      <c r="W210" s="66"/>
    </row>
    <row r="211" spans="6:23" ht="12.75" customHeight="1">
      <c r="F211" s="66"/>
      <c r="G211" s="66"/>
      <c r="H211" s="66"/>
      <c r="I211" s="66"/>
      <c r="J211" s="376"/>
      <c r="Q211" s="66"/>
      <c r="R211" s="66"/>
      <c r="V211" s="66"/>
      <c r="W211" s="66"/>
    </row>
    <row r="212" spans="6:23" ht="12.75" customHeight="1">
      <c r="F212" s="66"/>
      <c r="G212" s="66"/>
      <c r="H212" s="66"/>
      <c r="I212" s="66"/>
      <c r="J212" s="376"/>
      <c r="Q212" s="66"/>
      <c r="R212" s="66"/>
      <c r="V212" s="66"/>
      <c r="W212" s="66"/>
    </row>
    <row r="213" spans="6:23" ht="12.75" customHeight="1">
      <c r="F213" s="66"/>
      <c r="G213" s="66"/>
      <c r="H213" s="66"/>
      <c r="I213" s="66"/>
      <c r="J213" s="376"/>
      <c r="Q213" s="66"/>
      <c r="R213" s="66"/>
      <c r="V213" s="66"/>
      <c r="W213" s="66"/>
    </row>
    <row r="214" spans="6:23" ht="12.75" customHeight="1">
      <c r="F214" s="66"/>
      <c r="G214" s="66"/>
      <c r="H214" s="66"/>
      <c r="I214" s="66"/>
      <c r="J214" s="376"/>
      <c r="Q214" s="66"/>
      <c r="R214" s="66"/>
      <c r="V214" s="66"/>
      <c r="W214" s="66"/>
    </row>
    <row r="215" spans="6:23" ht="12.75" customHeight="1">
      <c r="F215" s="66"/>
      <c r="G215" s="66"/>
      <c r="H215" s="66"/>
      <c r="I215" s="66"/>
      <c r="J215" s="376"/>
      <c r="Q215" s="66"/>
      <c r="R215" s="66"/>
      <c r="V215" s="66"/>
      <c r="W215" s="66"/>
    </row>
    <row r="216" spans="6:23" ht="12.75" customHeight="1">
      <c r="F216" s="66"/>
      <c r="G216" s="66"/>
      <c r="H216" s="66"/>
      <c r="I216" s="66"/>
      <c r="J216" s="376"/>
      <c r="Q216" s="66"/>
      <c r="R216" s="66"/>
      <c r="V216" s="66"/>
      <c r="W216" s="66"/>
    </row>
    <row r="217" spans="6:23" ht="12.75" customHeight="1">
      <c r="F217" s="66"/>
      <c r="G217" s="66"/>
      <c r="H217" s="66"/>
      <c r="I217" s="66"/>
      <c r="J217" s="376"/>
      <c r="Q217" s="66"/>
      <c r="R217" s="66"/>
      <c r="V217" s="66"/>
      <c r="W217" s="66"/>
    </row>
    <row r="218" spans="6:23" ht="12.75" customHeight="1">
      <c r="F218" s="66"/>
      <c r="G218" s="66"/>
      <c r="H218" s="66"/>
      <c r="I218" s="66"/>
      <c r="J218" s="376"/>
      <c r="Q218" s="66"/>
      <c r="R218" s="66"/>
      <c r="V218" s="66"/>
      <c r="W218" s="66"/>
    </row>
    <row r="219" spans="6:23" ht="12.75" customHeight="1">
      <c r="F219" s="66"/>
      <c r="G219" s="66"/>
      <c r="H219" s="66"/>
      <c r="I219" s="66"/>
      <c r="J219" s="376"/>
      <c r="Q219" s="66"/>
      <c r="R219" s="66"/>
      <c r="V219" s="66"/>
      <c r="W219" s="66"/>
    </row>
    <row r="220" spans="6:23" ht="12.75" customHeight="1">
      <c r="F220" s="66"/>
      <c r="G220" s="66"/>
      <c r="H220" s="66"/>
      <c r="I220" s="66"/>
      <c r="J220" s="376"/>
      <c r="Q220" s="66"/>
      <c r="R220" s="66"/>
      <c r="V220" s="66"/>
      <c r="W220" s="66"/>
    </row>
    <row r="221" spans="6:23" ht="12.75" customHeight="1">
      <c r="F221" s="66"/>
      <c r="G221" s="66"/>
      <c r="H221" s="66"/>
      <c r="I221" s="66"/>
      <c r="J221" s="376"/>
      <c r="Q221" s="66"/>
      <c r="R221" s="66"/>
      <c r="V221" s="66"/>
      <c r="W221" s="66"/>
    </row>
    <row r="222" spans="6:23" ht="12.75" customHeight="1">
      <c r="F222" s="66"/>
      <c r="G222" s="66"/>
      <c r="H222" s="66"/>
      <c r="I222" s="66"/>
      <c r="J222" s="376"/>
      <c r="Q222" s="66"/>
      <c r="R222" s="66"/>
      <c r="V222" s="66"/>
      <c r="W222" s="66"/>
    </row>
    <row r="223" spans="6:23" ht="12.75" customHeight="1">
      <c r="F223" s="66"/>
      <c r="G223" s="66"/>
      <c r="H223" s="66"/>
      <c r="I223" s="66"/>
      <c r="J223" s="376"/>
      <c r="Q223" s="66"/>
      <c r="R223" s="66"/>
      <c r="V223" s="66"/>
      <c r="W223" s="66"/>
    </row>
    <row r="224" spans="6:23" ht="12.75" customHeight="1">
      <c r="F224" s="66"/>
      <c r="G224" s="66"/>
      <c r="H224" s="66"/>
      <c r="I224" s="66"/>
      <c r="J224" s="376"/>
      <c r="Q224" s="66"/>
      <c r="R224" s="66"/>
      <c r="V224" s="66"/>
      <c r="W224" s="66"/>
    </row>
    <row r="225" spans="6:23" ht="12.75" customHeight="1">
      <c r="F225" s="66"/>
      <c r="G225" s="66"/>
      <c r="H225" s="66"/>
      <c r="I225" s="66"/>
      <c r="J225" s="376"/>
      <c r="Q225" s="66"/>
      <c r="R225" s="66"/>
      <c r="V225" s="66"/>
      <c r="W225" s="66"/>
    </row>
    <row r="226" spans="6:23" ht="12.75" customHeight="1">
      <c r="F226" s="66"/>
      <c r="G226" s="66"/>
      <c r="H226" s="66"/>
      <c r="I226" s="66"/>
      <c r="J226" s="376"/>
      <c r="Q226" s="66"/>
      <c r="R226" s="66"/>
      <c r="V226" s="66"/>
      <c r="W226" s="66"/>
    </row>
    <row r="227" spans="6:23" ht="12.75" customHeight="1">
      <c r="F227" s="66"/>
      <c r="G227" s="66"/>
      <c r="H227" s="66"/>
      <c r="I227" s="66"/>
      <c r="J227" s="376"/>
      <c r="Q227" s="66"/>
      <c r="R227" s="66"/>
      <c r="V227" s="66"/>
      <c r="W227" s="66"/>
    </row>
    <row r="228" spans="6:23" ht="12.75" customHeight="1">
      <c r="F228" s="66"/>
      <c r="G228" s="66"/>
      <c r="H228" s="66"/>
      <c r="I228" s="66"/>
      <c r="J228" s="376"/>
      <c r="Q228" s="66"/>
      <c r="R228" s="66"/>
      <c r="V228" s="66"/>
      <c r="W228" s="66"/>
    </row>
    <row r="229" spans="6:23" ht="12.75" customHeight="1">
      <c r="F229" s="66"/>
      <c r="G229" s="66"/>
      <c r="H229" s="66"/>
      <c r="I229" s="66"/>
      <c r="J229" s="376"/>
      <c r="Q229" s="66"/>
      <c r="R229" s="66"/>
      <c r="V229" s="66"/>
      <c r="W229" s="66"/>
    </row>
    <row r="230" spans="6:23" ht="12.75" customHeight="1">
      <c r="F230" s="66"/>
      <c r="G230" s="66"/>
      <c r="H230" s="66"/>
      <c r="I230" s="66"/>
      <c r="J230" s="376"/>
      <c r="Q230" s="66"/>
      <c r="R230" s="66"/>
      <c r="V230" s="66"/>
      <c r="W230" s="66"/>
    </row>
    <row r="231" spans="6:23" ht="12.75" customHeight="1">
      <c r="F231" s="66"/>
      <c r="G231" s="66"/>
      <c r="H231" s="66"/>
      <c r="I231" s="66"/>
      <c r="J231" s="376"/>
      <c r="Q231" s="66"/>
      <c r="R231" s="66"/>
      <c r="V231" s="66"/>
      <c r="W231" s="66"/>
    </row>
    <row r="232" spans="6:23" ht="12.75" customHeight="1">
      <c r="F232" s="66"/>
      <c r="G232" s="66"/>
      <c r="H232" s="66"/>
      <c r="I232" s="66"/>
      <c r="J232" s="376"/>
      <c r="Q232" s="66"/>
      <c r="R232" s="66"/>
      <c r="V232" s="66"/>
      <c r="W232" s="66"/>
    </row>
    <row r="233" spans="6:23" ht="12.75" customHeight="1">
      <c r="F233" s="66"/>
      <c r="G233" s="66"/>
      <c r="H233" s="66"/>
      <c r="I233" s="66"/>
      <c r="J233" s="376"/>
      <c r="Q233" s="66"/>
      <c r="R233" s="66"/>
      <c r="V233" s="66"/>
      <c r="W233" s="66"/>
    </row>
    <row r="234" spans="6:23" ht="12.75" customHeight="1">
      <c r="F234" s="66"/>
      <c r="G234" s="66"/>
      <c r="H234" s="66"/>
      <c r="I234" s="66"/>
      <c r="J234" s="376"/>
      <c r="Q234" s="66"/>
      <c r="R234" s="66"/>
      <c r="V234" s="66"/>
      <c r="W234" s="66"/>
    </row>
    <row r="235" spans="6:23" ht="12.75" customHeight="1">
      <c r="F235" s="66"/>
      <c r="G235" s="66"/>
      <c r="H235" s="66"/>
      <c r="I235" s="66"/>
      <c r="J235" s="376"/>
      <c r="Q235" s="66"/>
      <c r="R235" s="66"/>
      <c r="V235" s="66"/>
      <c r="W235" s="66"/>
    </row>
    <row r="236" spans="6:23" ht="12.75" customHeight="1">
      <c r="F236" s="66"/>
      <c r="G236" s="66"/>
      <c r="H236" s="66"/>
      <c r="I236" s="66"/>
      <c r="J236" s="376"/>
      <c r="Q236" s="66"/>
      <c r="R236" s="66"/>
      <c r="V236" s="66"/>
      <c r="W236" s="66"/>
    </row>
    <row r="237" spans="6:23" ht="12.75" customHeight="1">
      <c r="F237" s="66"/>
      <c r="G237" s="66"/>
      <c r="H237" s="66"/>
      <c r="I237" s="66"/>
      <c r="J237" s="376"/>
      <c r="Q237" s="66"/>
      <c r="R237" s="66"/>
      <c r="V237" s="66"/>
      <c r="W237" s="66"/>
    </row>
    <row r="238" spans="6:23" ht="12.75" customHeight="1">
      <c r="F238" s="66"/>
      <c r="G238" s="66"/>
      <c r="H238" s="66"/>
      <c r="I238" s="66"/>
      <c r="J238" s="376"/>
      <c r="Q238" s="66"/>
      <c r="R238" s="66"/>
      <c r="V238" s="66"/>
      <c r="W238" s="66"/>
    </row>
    <row r="239" spans="6:23" ht="12.75" customHeight="1">
      <c r="F239" s="66"/>
      <c r="G239" s="66"/>
      <c r="H239" s="66"/>
      <c r="I239" s="66"/>
      <c r="J239" s="376"/>
      <c r="Q239" s="66"/>
      <c r="R239" s="66"/>
      <c r="V239" s="66"/>
      <c r="W239" s="66"/>
    </row>
    <row r="240" spans="6:23" ht="12.75" customHeight="1">
      <c r="F240" s="66"/>
      <c r="G240" s="66"/>
      <c r="H240" s="66"/>
      <c r="I240" s="66"/>
      <c r="J240" s="376"/>
      <c r="Q240" s="66"/>
      <c r="R240" s="66"/>
      <c r="V240" s="66"/>
      <c r="W240" s="66"/>
    </row>
    <row r="241" spans="6:23" ht="12.75" customHeight="1">
      <c r="F241" s="66"/>
      <c r="G241" s="66"/>
      <c r="H241" s="66"/>
      <c r="I241" s="66"/>
      <c r="J241" s="376"/>
      <c r="Q241" s="66"/>
      <c r="R241" s="66"/>
      <c r="V241" s="66"/>
      <c r="W241" s="66"/>
    </row>
    <row r="242" spans="6:23" ht="12.75" customHeight="1">
      <c r="F242" s="66"/>
      <c r="G242" s="66"/>
      <c r="H242" s="66"/>
      <c r="I242" s="66"/>
      <c r="J242" s="376"/>
      <c r="Q242" s="66"/>
      <c r="R242" s="66"/>
      <c r="V242" s="66"/>
      <c r="W242" s="66"/>
    </row>
    <row r="243" spans="6:23" ht="12.75" customHeight="1">
      <c r="F243" s="66"/>
      <c r="G243" s="66"/>
      <c r="H243" s="66"/>
      <c r="I243" s="66"/>
      <c r="J243" s="376"/>
      <c r="Q243" s="66"/>
      <c r="R243" s="66"/>
      <c r="V243" s="66"/>
      <c r="W243" s="66"/>
    </row>
    <row r="244" spans="6:23" ht="12.75" customHeight="1">
      <c r="F244" s="66"/>
      <c r="G244" s="66"/>
      <c r="H244" s="66"/>
      <c r="I244" s="66"/>
      <c r="J244" s="376"/>
      <c r="Q244" s="66"/>
      <c r="R244" s="66"/>
      <c r="V244" s="66"/>
      <c r="W244" s="66"/>
    </row>
    <row r="245" spans="6:23" ht="12.75" customHeight="1">
      <c r="F245" s="66"/>
      <c r="G245" s="66"/>
      <c r="H245" s="66"/>
      <c r="I245" s="66"/>
      <c r="J245" s="376"/>
      <c r="Q245" s="66"/>
      <c r="R245" s="66"/>
      <c r="V245" s="66"/>
      <c r="W245" s="66"/>
    </row>
    <row r="246" spans="6:23" ht="12.75" customHeight="1">
      <c r="F246" s="66"/>
      <c r="G246" s="66"/>
      <c r="H246" s="66"/>
      <c r="I246" s="66"/>
      <c r="J246" s="376"/>
      <c r="Q246" s="66"/>
      <c r="R246" s="66"/>
      <c r="V246" s="66"/>
      <c r="W246" s="66"/>
    </row>
    <row r="247" spans="6:23" ht="12.75" customHeight="1">
      <c r="F247" s="66"/>
      <c r="G247" s="66"/>
      <c r="H247" s="66"/>
      <c r="I247" s="66"/>
      <c r="J247" s="376"/>
      <c r="Q247" s="66"/>
      <c r="R247" s="66"/>
      <c r="V247" s="66"/>
      <c r="W247" s="66"/>
    </row>
    <row r="248" spans="6:23" ht="12.75" customHeight="1">
      <c r="F248" s="66"/>
      <c r="G248" s="66"/>
      <c r="H248" s="66"/>
      <c r="I248" s="66"/>
      <c r="J248" s="376"/>
      <c r="Q248" s="66"/>
      <c r="R248" s="66"/>
      <c r="V248" s="66"/>
      <c r="W248" s="66"/>
    </row>
    <row r="249" spans="6:23" ht="12.75" customHeight="1">
      <c r="F249" s="66"/>
      <c r="G249" s="66"/>
      <c r="H249" s="66"/>
      <c r="I249" s="66"/>
      <c r="J249" s="376"/>
      <c r="Q249" s="66"/>
      <c r="R249" s="66"/>
      <c r="V249" s="66"/>
      <c r="W249" s="66"/>
    </row>
    <row r="250" spans="6:23" ht="12.75" customHeight="1">
      <c r="F250" s="66"/>
      <c r="G250" s="66"/>
      <c r="H250" s="66"/>
      <c r="I250" s="66"/>
      <c r="J250" s="376"/>
      <c r="Q250" s="66"/>
      <c r="R250" s="66"/>
      <c r="V250" s="66"/>
      <c r="W250" s="66"/>
    </row>
    <row r="251" spans="6:23" ht="12.75" customHeight="1">
      <c r="F251" s="66"/>
      <c r="G251" s="66"/>
      <c r="H251" s="66"/>
      <c r="I251" s="66"/>
      <c r="J251" s="376"/>
      <c r="Q251" s="66"/>
      <c r="R251" s="66"/>
      <c r="V251" s="66"/>
      <c r="W251" s="66"/>
    </row>
    <row r="252" spans="6:23" ht="12.75" customHeight="1">
      <c r="F252" s="66"/>
      <c r="G252" s="66"/>
      <c r="H252" s="66"/>
      <c r="I252" s="66"/>
      <c r="J252" s="376"/>
      <c r="Q252" s="66"/>
      <c r="R252" s="66"/>
      <c r="V252" s="66"/>
      <c r="W252" s="66"/>
    </row>
    <row r="253" spans="6:23" ht="12.75" customHeight="1">
      <c r="F253" s="66"/>
      <c r="G253" s="66"/>
      <c r="H253" s="66"/>
      <c r="I253" s="66"/>
      <c r="J253" s="376"/>
      <c r="Q253" s="66"/>
      <c r="R253" s="66"/>
      <c r="V253" s="66"/>
      <c r="W253" s="66"/>
    </row>
    <row r="254" spans="6:23" ht="12.75" customHeight="1">
      <c r="F254" s="66"/>
      <c r="G254" s="66"/>
      <c r="H254" s="66"/>
      <c r="I254" s="66"/>
      <c r="J254" s="376"/>
      <c r="Q254" s="66"/>
      <c r="R254" s="66"/>
      <c r="V254" s="66"/>
      <c r="W254" s="66"/>
    </row>
    <row r="255" spans="6:23" ht="12.75" customHeight="1">
      <c r="F255" s="66"/>
      <c r="G255" s="66"/>
      <c r="H255" s="66"/>
      <c r="I255" s="66"/>
      <c r="J255" s="376"/>
      <c r="Q255" s="66"/>
      <c r="R255" s="66"/>
      <c r="V255" s="66"/>
      <c r="W255" s="66"/>
    </row>
    <row r="256" spans="6:23" ht="12.75" customHeight="1">
      <c r="F256" s="66"/>
      <c r="G256" s="66"/>
      <c r="H256" s="66"/>
      <c r="I256" s="66"/>
      <c r="J256" s="376"/>
      <c r="Q256" s="66"/>
      <c r="R256" s="66"/>
      <c r="V256" s="66"/>
      <c r="W256" s="66"/>
    </row>
    <row r="257" spans="6:23" ht="12.75" customHeight="1">
      <c r="F257" s="66"/>
      <c r="G257" s="66"/>
      <c r="H257" s="66"/>
      <c r="I257" s="66"/>
      <c r="J257" s="376"/>
      <c r="Q257" s="66"/>
      <c r="R257" s="66"/>
      <c r="V257" s="66"/>
      <c r="W257" s="66"/>
    </row>
    <row r="258" spans="6:23" ht="12.75" customHeight="1">
      <c r="F258" s="66"/>
      <c r="G258" s="66"/>
      <c r="H258" s="66"/>
      <c r="I258" s="66"/>
      <c r="J258" s="376"/>
      <c r="Q258" s="66"/>
      <c r="R258" s="66"/>
      <c r="V258" s="66"/>
      <c r="W258" s="66"/>
    </row>
    <row r="259" spans="6:23" ht="12.75" customHeight="1">
      <c r="F259" s="66"/>
      <c r="G259" s="66"/>
      <c r="H259" s="66"/>
      <c r="I259" s="66"/>
      <c r="J259" s="376"/>
      <c r="Q259" s="66"/>
      <c r="R259" s="66"/>
      <c r="V259" s="66"/>
      <c r="W259" s="66"/>
    </row>
    <row r="260" spans="6:23" ht="12.75" customHeight="1">
      <c r="F260" s="66"/>
      <c r="G260" s="66"/>
      <c r="H260" s="66"/>
      <c r="I260" s="66"/>
      <c r="J260" s="376"/>
      <c r="Q260" s="66"/>
      <c r="R260" s="66"/>
      <c r="V260" s="66"/>
      <c r="W260" s="66"/>
    </row>
    <row r="261" spans="6:23" ht="12.75" customHeight="1">
      <c r="F261" s="66"/>
      <c r="G261" s="66"/>
      <c r="H261" s="66"/>
      <c r="I261" s="66"/>
      <c r="J261" s="376"/>
      <c r="Q261" s="66"/>
      <c r="R261" s="66"/>
      <c r="V261" s="66"/>
      <c r="W261" s="66"/>
    </row>
    <row r="262" spans="6:23" ht="12.75" customHeight="1">
      <c r="F262" s="66"/>
      <c r="G262" s="66"/>
      <c r="H262" s="66"/>
      <c r="I262" s="66"/>
      <c r="J262" s="376"/>
      <c r="Q262" s="66"/>
      <c r="R262" s="66"/>
      <c r="V262" s="66"/>
      <c r="W262" s="66"/>
    </row>
    <row r="263" spans="6:23" ht="12.75" customHeight="1">
      <c r="F263" s="66"/>
      <c r="G263" s="66"/>
      <c r="H263" s="66"/>
      <c r="I263" s="66"/>
      <c r="J263" s="376"/>
      <c r="Q263" s="66"/>
      <c r="R263" s="66"/>
      <c r="V263" s="66"/>
      <c r="W263" s="66"/>
    </row>
    <row r="264" spans="6:23" ht="12.75" customHeight="1">
      <c r="F264" s="66"/>
      <c r="G264" s="66"/>
      <c r="H264" s="66"/>
      <c r="I264" s="66"/>
      <c r="J264" s="376"/>
      <c r="Q264" s="66"/>
      <c r="R264" s="66"/>
      <c r="V264" s="66"/>
      <c r="W264" s="66"/>
    </row>
    <row r="265" spans="6:23" ht="12.75" customHeight="1">
      <c r="F265" s="66"/>
      <c r="G265" s="66"/>
      <c r="H265" s="66"/>
      <c r="I265" s="66"/>
      <c r="J265" s="376"/>
      <c r="Q265" s="66"/>
      <c r="R265" s="66"/>
      <c r="V265" s="66"/>
      <c r="W265" s="66"/>
    </row>
    <row r="266" spans="6:23" ht="12.75" customHeight="1">
      <c r="F266" s="66"/>
      <c r="G266" s="66"/>
      <c r="H266" s="66"/>
      <c r="I266" s="66"/>
      <c r="J266" s="376"/>
      <c r="Q266" s="66"/>
      <c r="R266" s="66"/>
      <c r="V266" s="66"/>
      <c r="W266" s="66"/>
    </row>
    <row r="267" spans="6:23" ht="12.75" customHeight="1">
      <c r="F267" s="66"/>
      <c r="G267" s="66"/>
      <c r="H267" s="66"/>
      <c r="I267" s="66"/>
      <c r="J267" s="376"/>
      <c r="Q267" s="66"/>
      <c r="R267" s="66"/>
      <c r="V267" s="66"/>
      <c r="W267" s="66"/>
    </row>
    <row r="268" spans="6:23" ht="12.75" customHeight="1">
      <c r="F268" s="66"/>
      <c r="G268" s="66"/>
      <c r="H268" s="66"/>
      <c r="I268" s="66"/>
      <c r="J268" s="376"/>
      <c r="Q268" s="66"/>
      <c r="R268" s="66"/>
      <c r="V268" s="66"/>
      <c r="W268" s="66"/>
    </row>
    <row r="269" spans="6:23" ht="12.75" customHeight="1">
      <c r="F269" s="66"/>
      <c r="G269" s="66"/>
      <c r="H269" s="66"/>
      <c r="I269" s="66"/>
      <c r="J269" s="376"/>
      <c r="Q269" s="66"/>
      <c r="R269" s="66"/>
      <c r="V269" s="66"/>
      <c r="W269" s="66"/>
    </row>
    <row r="270" spans="6:23" ht="12.75" customHeight="1">
      <c r="F270" s="66"/>
      <c r="G270" s="66"/>
      <c r="H270" s="66"/>
      <c r="I270" s="66"/>
      <c r="J270" s="376"/>
      <c r="Q270" s="66"/>
      <c r="R270" s="66"/>
      <c r="V270" s="66"/>
      <c r="W270" s="66"/>
    </row>
    <row r="271" spans="6:23" ht="12.75" customHeight="1">
      <c r="F271" s="66"/>
      <c r="G271" s="66"/>
      <c r="H271" s="66"/>
      <c r="I271" s="66"/>
      <c r="J271" s="376"/>
      <c r="Q271" s="66"/>
      <c r="R271" s="66"/>
      <c r="V271" s="66"/>
      <c r="W271" s="66"/>
    </row>
    <row r="272" spans="6:23" ht="12.75" customHeight="1">
      <c r="F272" s="66"/>
      <c r="G272" s="66"/>
      <c r="H272" s="66"/>
      <c r="I272" s="66"/>
      <c r="J272" s="376"/>
      <c r="Q272" s="66"/>
      <c r="R272" s="66"/>
      <c r="V272" s="66"/>
      <c r="W272" s="66"/>
    </row>
    <row r="273" spans="6:23" ht="12.75" customHeight="1">
      <c r="F273" s="66"/>
      <c r="G273" s="66"/>
      <c r="H273" s="66"/>
      <c r="I273" s="66"/>
      <c r="J273" s="376"/>
      <c r="Q273" s="66"/>
      <c r="R273" s="66"/>
      <c r="V273" s="66"/>
      <c r="W273" s="66"/>
    </row>
    <row r="274" spans="6:23" ht="12.75" customHeight="1">
      <c r="F274" s="66"/>
      <c r="G274" s="66"/>
      <c r="H274" s="66"/>
      <c r="I274" s="66"/>
      <c r="J274" s="376"/>
      <c r="Q274" s="66"/>
      <c r="R274" s="66"/>
      <c r="V274" s="66"/>
      <c r="W274" s="66"/>
    </row>
    <row r="275" spans="6:23" ht="12.75" customHeight="1">
      <c r="F275" s="66"/>
      <c r="G275" s="66"/>
      <c r="H275" s="66"/>
      <c r="I275" s="66"/>
      <c r="J275" s="376"/>
      <c r="Q275" s="66"/>
      <c r="R275" s="66"/>
      <c r="V275" s="66"/>
      <c r="W275" s="66"/>
    </row>
    <row r="276" spans="6:23" ht="12.75" customHeight="1">
      <c r="F276" s="66"/>
      <c r="G276" s="66"/>
      <c r="H276" s="66"/>
      <c r="I276" s="66"/>
      <c r="J276" s="376"/>
      <c r="Q276" s="66"/>
      <c r="R276" s="66"/>
      <c r="V276" s="66"/>
      <c r="W276" s="66"/>
    </row>
    <row r="277" spans="6:23" ht="12.75" customHeight="1">
      <c r="F277" s="66"/>
      <c r="G277" s="66"/>
      <c r="H277" s="66"/>
      <c r="I277" s="66"/>
      <c r="J277" s="376"/>
      <c r="Q277" s="66"/>
      <c r="R277" s="66"/>
      <c r="V277" s="66"/>
      <c r="W277" s="66"/>
    </row>
    <row r="278" spans="6:23" ht="12.75" customHeight="1">
      <c r="F278" s="66"/>
      <c r="G278" s="66"/>
      <c r="H278" s="66"/>
      <c r="I278" s="66"/>
      <c r="J278" s="376"/>
      <c r="Q278" s="66"/>
      <c r="R278" s="66"/>
      <c r="V278" s="66"/>
      <c r="W278" s="66"/>
    </row>
    <row r="279" spans="6:23" ht="12.75" customHeight="1">
      <c r="F279" s="66"/>
      <c r="G279" s="66"/>
      <c r="H279" s="66"/>
      <c r="I279" s="66"/>
      <c r="J279" s="376"/>
      <c r="Q279" s="66"/>
      <c r="R279" s="66"/>
      <c r="V279" s="66"/>
      <c r="W279" s="66"/>
    </row>
    <row r="280" spans="6:23" ht="12.75" customHeight="1">
      <c r="F280" s="66"/>
      <c r="G280" s="66"/>
      <c r="H280" s="66"/>
      <c r="I280" s="66"/>
      <c r="J280" s="376"/>
      <c r="Q280" s="66"/>
      <c r="R280" s="66"/>
      <c r="V280" s="66"/>
      <c r="W280" s="66"/>
    </row>
    <row r="281" spans="6:23" ht="12.75" customHeight="1">
      <c r="F281" s="66"/>
      <c r="G281" s="66"/>
      <c r="H281" s="66"/>
      <c r="I281" s="66"/>
      <c r="J281" s="376"/>
      <c r="Q281" s="66"/>
      <c r="R281" s="66"/>
      <c r="V281" s="66"/>
      <c r="W281" s="66"/>
    </row>
    <row r="282" spans="6:23" ht="12.75" customHeight="1">
      <c r="F282" s="66"/>
      <c r="G282" s="66"/>
      <c r="H282" s="66"/>
      <c r="I282" s="66"/>
      <c r="J282" s="376"/>
      <c r="Q282" s="66"/>
      <c r="R282" s="66"/>
      <c r="V282" s="66"/>
      <c r="W282" s="66"/>
    </row>
    <row r="283" spans="6:23" ht="12.75" customHeight="1">
      <c r="F283" s="66"/>
      <c r="G283" s="66"/>
      <c r="H283" s="66"/>
      <c r="I283" s="66"/>
      <c r="J283" s="376"/>
      <c r="Q283" s="66"/>
      <c r="R283" s="66"/>
      <c r="V283" s="66"/>
      <c r="W283" s="66"/>
    </row>
    <row r="284" spans="6:23" ht="12.75" customHeight="1">
      <c r="F284" s="66"/>
      <c r="G284" s="66"/>
      <c r="H284" s="66"/>
      <c r="I284" s="66"/>
      <c r="J284" s="376"/>
      <c r="Q284" s="66"/>
      <c r="R284" s="66"/>
      <c r="V284" s="66"/>
      <c r="W284" s="66"/>
    </row>
    <row r="285" spans="6:23" ht="12.75" customHeight="1">
      <c r="F285" s="66"/>
      <c r="G285" s="66"/>
      <c r="H285" s="66"/>
      <c r="I285" s="66"/>
      <c r="J285" s="376"/>
      <c r="Q285" s="66"/>
      <c r="R285" s="66"/>
      <c r="V285" s="66"/>
      <c r="W285" s="66"/>
    </row>
    <row r="286" spans="6:23" ht="12.75" customHeight="1">
      <c r="F286" s="66"/>
      <c r="G286" s="66"/>
      <c r="H286" s="66"/>
      <c r="I286" s="66"/>
      <c r="J286" s="376"/>
      <c r="Q286" s="66"/>
      <c r="R286" s="66"/>
      <c r="V286" s="66"/>
      <c r="W286" s="66"/>
    </row>
    <row r="287" spans="6:23" ht="12.75" customHeight="1">
      <c r="F287" s="66"/>
      <c r="G287" s="66"/>
      <c r="H287" s="66"/>
      <c r="I287" s="66"/>
      <c r="J287" s="376"/>
      <c r="Q287" s="66"/>
      <c r="R287" s="66"/>
      <c r="V287" s="66"/>
      <c r="W287" s="66"/>
    </row>
    <row r="288" spans="6:23" ht="12.75" customHeight="1">
      <c r="F288" s="66"/>
      <c r="G288" s="66"/>
      <c r="H288" s="66"/>
      <c r="I288" s="66"/>
      <c r="J288" s="376"/>
      <c r="Q288" s="66"/>
      <c r="R288" s="66"/>
      <c r="V288" s="66"/>
      <c r="W288" s="66"/>
    </row>
    <row r="289" spans="6:23" ht="12.75" customHeight="1">
      <c r="F289" s="66"/>
      <c r="G289" s="66"/>
      <c r="H289" s="66"/>
      <c r="I289" s="66"/>
      <c r="J289" s="376"/>
      <c r="Q289" s="66"/>
      <c r="R289" s="66"/>
      <c r="V289" s="66"/>
      <c r="W289" s="66"/>
    </row>
    <row r="290" spans="6:23" ht="12.75" customHeight="1">
      <c r="F290" s="66"/>
      <c r="G290" s="66"/>
      <c r="H290" s="66"/>
      <c r="I290" s="66"/>
      <c r="J290" s="376"/>
      <c r="Q290" s="66"/>
      <c r="R290" s="66"/>
      <c r="V290" s="66"/>
      <c r="W290" s="66"/>
    </row>
    <row r="291" spans="6:23" ht="12.75" customHeight="1">
      <c r="F291" s="66"/>
      <c r="G291" s="66"/>
      <c r="H291" s="66"/>
      <c r="I291" s="66"/>
      <c r="J291" s="376"/>
      <c r="Q291" s="66"/>
      <c r="R291" s="66"/>
      <c r="V291" s="66"/>
      <c r="W291" s="66"/>
    </row>
    <row r="292" spans="6:23" ht="12.75" customHeight="1">
      <c r="F292" s="66"/>
      <c r="G292" s="66"/>
      <c r="H292" s="66"/>
      <c r="I292" s="66"/>
      <c r="J292" s="376"/>
      <c r="Q292" s="66"/>
      <c r="R292" s="66"/>
      <c r="V292" s="66"/>
      <c r="W292" s="66"/>
    </row>
    <row r="293" spans="6:23" ht="12.75" customHeight="1">
      <c r="F293" s="66"/>
      <c r="G293" s="66"/>
      <c r="H293" s="66"/>
      <c r="I293" s="66"/>
      <c r="J293" s="376"/>
      <c r="Q293" s="66"/>
      <c r="R293" s="66"/>
      <c r="V293" s="66"/>
      <c r="W293" s="66"/>
    </row>
    <row r="294" spans="6:23" ht="12.75" customHeight="1">
      <c r="F294" s="66"/>
      <c r="G294" s="66"/>
      <c r="H294" s="66"/>
      <c r="I294" s="66"/>
      <c r="J294" s="376"/>
      <c r="Q294" s="66"/>
      <c r="R294" s="66"/>
      <c r="V294" s="66"/>
      <c r="W294" s="66"/>
    </row>
    <row r="295" spans="6:23" ht="12.75" customHeight="1">
      <c r="F295" s="66"/>
      <c r="G295" s="66"/>
      <c r="H295" s="66"/>
      <c r="I295" s="66"/>
      <c r="J295" s="376"/>
      <c r="Q295" s="66"/>
      <c r="R295" s="66"/>
      <c r="V295" s="66"/>
      <c r="W295" s="66"/>
    </row>
    <row r="296" spans="6:23" ht="12.75" customHeight="1">
      <c r="F296" s="66"/>
      <c r="G296" s="66"/>
      <c r="H296" s="66"/>
      <c r="I296" s="66"/>
      <c r="J296" s="376"/>
      <c r="Q296" s="66"/>
      <c r="R296" s="66"/>
      <c r="V296" s="66"/>
      <c r="W296" s="66"/>
    </row>
    <row r="297" spans="6:23" ht="12.75" customHeight="1">
      <c r="F297" s="66"/>
      <c r="G297" s="66"/>
      <c r="H297" s="66"/>
      <c r="I297" s="66"/>
      <c r="J297" s="376"/>
      <c r="Q297" s="66"/>
      <c r="R297" s="66"/>
      <c r="V297" s="66"/>
      <c r="W297" s="66"/>
    </row>
    <row r="298" spans="6:23" ht="12.75" customHeight="1">
      <c r="F298" s="66"/>
      <c r="G298" s="66"/>
      <c r="H298" s="66"/>
      <c r="I298" s="66"/>
      <c r="J298" s="376"/>
      <c r="Q298" s="66"/>
      <c r="R298" s="66"/>
      <c r="V298" s="66"/>
      <c r="W298" s="66"/>
    </row>
    <row r="299" spans="6:23" ht="12.75" customHeight="1">
      <c r="F299" s="66"/>
      <c r="G299" s="66"/>
      <c r="H299" s="66"/>
      <c r="I299" s="66"/>
      <c r="J299" s="376"/>
      <c r="Q299" s="66"/>
      <c r="R299" s="66"/>
      <c r="V299" s="66"/>
      <c r="W299" s="66"/>
    </row>
    <row r="300" spans="6:23" ht="12.75" customHeight="1">
      <c r="F300" s="66"/>
      <c r="G300" s="66"/>
      <c r="H300" s="66"/>
      <c r="I300" s="66"/>
      <c r="J300" s="376"/>
      <c r="Q300" s="66"/>
      <c r="R300" s="66"/>
      <c r="V300" s="66"/>
      <c r="W300" s="66"/>
    </row>
    <row r="301" spans="6:23" ht="12.75" customHeight="1">
      <c r="F301" s="66"/>
      <c r="G301" s="66"/>
      <c r="H301" s="66"/>
      <c r="I301" s="66"/>
      <c r="J301" s="376"/>
      <c r="Q301" s="66"/>
      <c r="R301" s="66"/>
      <c r="V301" s="66"/>
      <c r="W301" s="66"/>
    </row>
    <row r="302" spans="6:23" ht="12.75" customHeight="1">
      <c r="F302" s="66"/>
      <c r="G302" s="66"/>
      <c r="H302" s="66"/>
      <c r="I302" s="66"/>
      <c r="J302" s="376"/>
      <c r="Q302" s="66"/>
      <c r="R302" s="66"/>
      <c r="V302" s="66"/>
      <c r="W302" s="66"/>
    </row>
    <row r="303" spans="6:23" ht="12.75" customHeight="1">
      <c r="F303" s="66"/>
      <c r="G303" s="66"/>
      <c r="H303" s="66"/>
      <c r="I303" s="66"/>
      <c r="J303" s="376"/>
      <c r="Q303" s="66"/>
      <c r="R303" s="66"/>
      <c r="V303" s="66"/>
      <c r="W303" s="66"/>
    </row>
    <row r="304" spans="6:23" ht="12.75" customHeight="1">
      <c r="F304" s="66"/>
      <c r="G304" s="66"/>
      <c r="H304" s="66"/>
      <c r="I304" s="66"/>
      <c r="J304" s="376"/>
      <c r="Q304" s="66"/>
      <c r="R304" s="66"/>
      <c r="V304" s="66"/>
      <c r="W304" s="66"/>
    </row>
    <row r="305" spans="6:23" ht="12.75" customHeight="1">
      <c r="F305" s="66"/>
      <c r="G305" s="66"/>
      <c r="H305" s="66"/>
      <c r="I305" s="66"/>
      <c r="J305" s="376"/>
      <c r="Q305" s="66"/>
      <c r="R305" s="66"/>
      <c r="V305" s="66"/>
      <c r="W305" s="66"/>
    </row>
    <row r="306" spans="6:23" ht="12.75" customHeight="1">
      <c r="F306" s="66"/>
      <c r="G306" s="66"/>
      <c r="H306" s="66"/>
      <c r="I306" s="66"/>
      <c r="J306" s="376"/>
      <c r="Q306" s="66"/>
      <c r="R306" s="66"/>
      <c r="V306" s="66"/>
      <c r="W306" s="66"/>
    </row>
    <row r="307" spans="6:23" ht="12.75" customHeight="1">
      <c r="F307" s="66"/>
      <c r="G307" s="66"/>
      <c r="H307" s="66"/>
      <c r="I307" s="66"/>
      <c r="J307" s="376"/>
      <c r="Q307" s="66"/>
      <c r="R307" s="66"/>
      <c r="V307" s="66"/>
      <c r="W307" s="66"/>
    </row>
    <row r="308" spans="6:23" ht="12.75" customHeight="1">
      <c r="F308" s="66"/>
      <c r="G308" s="66"/>
      <c r="H308" s="66"/>
      <c r="I308" s="66"/>
      <c r="J308" s="376"/>
      <c r="Q308" s="66"/>
      <c r="R308" s="66"/>
      <c r="V308" s="66"/>
      <c r="W308" s="66"/>
    </row>
    <row r="309" spans="6:23" ht="12.75" customHeight="1">
      <c r="F309" s="66"/>
      <c r="G309" s="66"/>
      <c r="H309" s="66"/>
      <c r="I309" s="66"/>
      <c r="J309" s="376"/>
      <c r="Q309" s="66"/>
      <c r="R309" s="66"/>
      <c r="V309" s="66"/>
      <c r="W309" s="66"/>
    </row>
    <row r="310" spans="6:23" ht="12.75" customHeight="1">
      <c r="F310" s="66"/>
      <c r="G310" s="66"/>
      <c r="H310" s="66"/>
      <c r="I310" s="66"/>
      <c r="J310" s="376"/>
      <c r="Q310" s="66"/>
      <c r="R310" s="66"/>
      <c r="V310" s="66"/>
      <c r="W310" s="66"/>
    </row>
    <row r="311" spans="6:23" ht="12.75" customHeight="1">
      <c r="F311" s="66"/>
      <c r="G311" s="66"/>
      <c r="H311" s="66"/>
      <c r="I311" s="66"/>
      <c r="J311" s="376"/>
      <c r="Q311" s="66"/>
      <c r="R311" s="66"/>
      <c r="V311" s="66"/>
      <c r="W311" s="66"/>
    </row>
    <row r="312" spans="6:23" ht="12.75" customHeight="1">
      <c r="F312" s="66"/>
      <c r="G312" s="66"/>
      <c r="H312" s="66"/>
      <c r="I312" s="66"/>
      <c r="J312" s="376"/>
      <c r="Q312" s="66"/>
      <c r="R312" s="66"/>
      <c r="V312" s="66"/>
      <c r="W312" s="66"/>
    </row>
    <row r="313" spans="6:23" ht="12.75" customHeight="1">
      <c r="F313" s="66"/>
      <c r="G313" s="66"/>
      <c r="H313" s="66"/>
      <c r="I313" s="66"/>
      <c r="J313" s="376"/>
      <c r="Q313" s="66"/>
      <c r="R313" s="66"/>
      <c r="V313" s="66"/>
      <c r="W313" s="66"/>
    </row>
    <row r="314" spans="6:23" ht="12.75" customHeight="1">
      <c r="F314" s="66"/>
      <c r="G314" s="66"/>
      <c r="H314" s="66"/>
      <c r="I314" s="66"/>
      <c r="J314" s="376"/>
      <c r="Q314" s="66"/>
      <c r="R314" s="66"/>
      <c r="V314" s="66"/>
      <c r="W314" s="66"/>
    </row>
    <row r="315" spans="6:23" ht="12.75" customHeight="1">
      <c r="F315" s="66"/>
      <c r="G315" s="66"/>
      <c r="H315" s="66"/>
      <c r="I315" s="66"/>
      <c r="J315" s="376"/>
      <c r="Q315" s="66"/>
      <c r="R315" s="66"/>
      <c r="V315" s="66"/>
      <c r="W315" s="66"/>
    </row>
    <row r="316" spans="6:23" ht="12.75" customHeight="1">
      <c r="F316" s="66"/>
      <c r="G316" s="66"/>
      <c r="H316" s="66"/>
      <c r="I316" s="66"/>
      <c r="J316" s="376"/>
      <c r="Q316" s="66"/>
      <c r="R316" s="66"/>
      <c r="V316" s="66"/>
      <c r="W316" s="66"/>
    </row>
    <row r="317" spans="6:23" ht="12.75" customHeight="1">
      <c r="F317" s="66"/>
      <c r="G317" s="66"/>
      <c r="H317" s="66"/>
      <c r="I317" s="66"/>
      <c r="J317" s="376"/>
      <c r="Q317" s="66"/>
      <c r="R317" s="66"/>
      <c r="V317" s="66"/>
      <c r="W317" s="66"/>
    </row>
    <row r="318" spans="6:23" ht="12.75" customHeight="1">
      <c r="F318" s="66"/>
      <c r="G318" s="66"/>
      <c r="H318" s="66"/>
      <c r="I318" s="66"/>
      <c r="J318" s="376"/>
      <c r="Q318" s="66"/>
      <c r="R318" s="66"/>
      <c r="V318" s="66"/>
      <c r="W318" s="66"/>
    </row>
    <row r="319" spans="6:23" ht="12.75" customHeight="1">
      <c r="F319" s="66"/>
      <c r="G319" s="66"/>
      <c r="H319" s="66"/>
      <c r="I319" s="66"/>
      <c r="J319" s="376"/>
      <c r="Q319" s="66"/>
      <c r="R319" s="66"/>
      <c r="V319" s="66"/>
      <c r="W319" s="66"/>
    </row>
    <row r="320" spans="6:23" ht="12.75" customHeight="1">
      <c r="F320" s="66"/>
      <c r="G320" s="66"/>
      <c r="H320" s="66"/>
      <c r="I320" s="66"/>
      <c r="J320" s="376"/>
      <c r="Q320" s="66"/>
      <c r="R320" s="66"/>
      <c r="V320" s="66"/>
      <c r="W320" s="66"/>
    </row>
    <row r="321" spans="6:23" ht="12.75" customHeight="1">
      <c r="F321" s="66"/>
      <c r="G321" s="66"/>
      <c r="H321" s="66"/>
      <c r="I321" s="66"/>
      <c r="J321" s="376"/>
      <c r="Q321" s="66"/>
      <c r="R321" s="66"/>
      <c r="V321" s="66"/>
      <c r="W321" s="66"/>
    </row>
    <row r="322" spans="6:23" ht="12.75" customHeight="1">
      <c r="F322" s="66"/>
      <c r="G322" s="66"/>
      <c r="H322" s="66"/>
      <c r="I322" s="66"/>
      <c r="J322" s="376"/>
      <c r="Q322" s="66"/>
      <c r="R322" s="66"/>
      <c r="V322" s="66"/>
      <c r="W322" s="66"/>
    </row>
    <row r="323" spans="6:23" ht="12.75" customHeight="1">
      <c r="F323" s="66"/>
      <c r="G323" s="66"/>
      <c r="H323" s="66"/>
      <c r="I323" s="66"/>
      <c r="J323" s="376"/>
      <c r="Q323" s="66"/>
      <c r="R323" s="66"/>
      <c r="V323" s="66"/>
      <c r="W323" s="66"/>
    </row>
    <row r="324" spans="6:23" ht="12.75" customHeight="1">
      <c r="F324" s="66"/>
      <c r="G324" s="66"/>
      <c r="H324" s="66"/>
      <c r="I324" s="66"/>
      <c r="J324" s="376"/>
      <c r="Q324" s="66"/>
      <c r="R324" s="66"/>
      <c r="V324" s="66"/>
      <c r="W324" s="66"/>
    </row>
    <row r="325" spans="6:23" ht="12.75" customHeight="1">
      <c r="F325" s="66"/>
      <c r="G325" s="66"/>
      <c r="H325" s="66"/>
      <c r="I325" s="66"/>
      <c r="J325" s="376"/>
      <c r="Q325" s="66"/>
      <c r="R325" s="66"/>
      <c r="V325" s="66"/>
      <c r="W325" s="66"/>
    </row>
    <row r="326" spans="6:23" ht="12.75" customHeight="1">
      <c r="F326" s="66"/>
      <c r="G326" s="66"/>
      <c r="H326" s="66"/>
      <c r="I326" s="66"/>
      <c r="J326" s="376"/>
      <c r="Q326" s="66"/>
      <c r="R326" s="66"/>
      <c r="V326" s="66"/>
      <c r="W326" s="66"/>
    </row>
    <row r="327" spans="6:23" ht="12.75" customHeight="1">
      <c r="F327" s="66"/>
      <c r="G327" s="66"/>
      <c r="H327" s="66"/>
      <c r="I327" s="66"/>
      <c r="J327" s="376"/>
      <c r="Q327" s="66"/>
      <c r="R327" s="66"/>
      <c r="V327" s="66"/>
      <c r="W327" s="66"/>
    </row>
    <row r="328" spans="6:23" ht="12.75" customHeight="1">
      <c r="F328" s="66"/>
      <c r="G328" s="66"/>
      <c r="H328" s="66"/>
      <c r="I328" s="66"/>
      <c r="J328" s="376"/>
      <c r="Q328" s="66"/>
      <c r="R328" s="66"/>
      <c r="V328" s="66"/>
      <c r="W328" s="66"/>
    </row>
    <row r="329" spans="6:23" ht="12.75" customHeight="1">
      <c r="F329" s="66"/>
      <c r="G329" s="66"/>
      <c r="H329" s="66"/>
      <c r="I329" s="66"/>
      <c r="J329" s="376"/>
      <c r="Q329" s="66"/>
      <c r="R329" s="66"/>
      <c r="V329" s="66"/>
      <c r="W329" s="66"/>
    </row>
    <row r="330" spans="6:23" ht="12.75" customHeight="1">
      <c r="F330" s="66"/>
      <c r="G330" s="66"/>
      <c r="H330" s="66"/>
      <c r="I330" s="66"/>
      <c r="J330" s="376"/>
      <c r="Q330" s="66"/>
      <c r="R330" s="66"/>
      <c r="V330" s="66"/>
      <c r="W330" s="66"/>
    </row>
    <row r="331" spans="6:23" ht="12.75" customHeight="1">
      <c r="F331" s="66"/>
      <c r="G331" s="66"/>
      <c r="H331" s="66"/>
      <c r="I331" s="66"/>
      <c r="J331" s="376"/>
      <c r="Q331" s="66"/>
      <c r="R331" s="66"/>
      <c r="V331" s="66"/>
      <c r="W331" s="66"/>
    </row>
    <row r="332" spans="6:23" ht="12.75" customHeight="1">
      <c r="F332" s="66"/>
      <c r="G332" s="66"/>
      <c r="H332" s="66"/>
      <c r="I332" s="66"/>
      <c r="J332" s="376"/>
      <c r="Q332" s="66"/>
      <c r="R332" s="66"/>
      <c r="V332" s="66"/>
      <c r="W332" s="66"/>
    </row>
    <row r="333" spans="6:23" ht="12.75" customHeight="1">
      <c r="F333" s="66"/>
      <c r="G333" s="66"/>
      <c r="H333" s="66"/>
      <c r="I333" s="66"/>
      <c r="J333" s="376"/>
      <c r="Q333" s="66"/>
      <c r="R333" s="66"/>
      <c r="V333" s="66"/>
      <c r="W333" s="66"/>
    </row>
    <row r="334" spans="6:23" ht="12.75" customHeight="1">
      <c r="F334" s="66"/>
      <c r="G334" s="66"/>
      <c r="H334" s="66"/>
      <c r="I334" s="66"/>
      <c r="J334" s="376"/>
      <c r="Q334" s="66"/>
      <c r="R334" s="66"/>
      <c r="V334" s="66"/>
      <c r="W334" s="66"/>
    </row>
    <row r="335" spans="6:23" ht="12.75" customHeight="1">
      <c r="F335" s="66"/>
      <c r="G335" s="66"/>
      <c r="H335" s="66"/>
      <c r="I335" s="66"/>
      <c r="J335" s="376"/>
      <c r="Q335" s="66"/>
      <c r="R335" s="66"/>
      <c r="V335" s="66"/>
      <c r="W335" s="66"/>
    </row>
    <row r="336" spans="6:23" ht="12.75" customHeight="1">
      <c r="F336" s="66"/>
      <c r="G336" s="66"/>
      <c r="H336" s="66"/>
      <c r="I336" s="66"/>
      <c r="J336" s="376"/>
      <c r="Q336" s="66"/>
      <c r="R336" s="66"/>
      <c r="V336" s="66"/>
      <c r="W336" s="66"/>
    </row>
    <row r="337" spans="6:23" ht="12.75" customHeight="1">
      <c r="F337" s="66"/>
      <c r="G337" s="66"/>
      <c r="H337" s="66"/>
      <c r="I337" s="66"/>
      <c r="J337" s="376"/>
      <c r="Q337" s="66"/>
      <c r="R337" s="66"/>
      <c r="V337" s="66"/>
      <c r="W337" s="66"/>
    </row>
    <row r="338" spans="6:23" ht="12.75" customHeight="1">
      <c r="F338" s="66"/>
      <c r="G338" s="66"/>
      <c r="H338" s="66"/>
      <c r="I338" s="66"/>
      <c r="J338" s="376"/>
      <c r="Q338" s="66"/>
      <c r="R338" s="66"/>
      <c r="V338" s="66"/>
      <c r="W338" s="66"/>
    </row>
    <row r="339" spans="6:23" ht="12.75" customHeight="1">
      <c r="F339" s="66"/>
      <c r="G339" s="66"/>
      <c r="H339" s="66"/>
      <c r="I339" s="66"/>
      <c r="J339" s="376"/>
      <c r="Q339" s="66"/>
      <c r="R339" s="66"/>
      <c r="V339" s="66"/>
      <c r="W339" s="66"/>
    </row>
    <row r="340" spans="6:23" ht="12.75" customHeight="1">
      <c r="F340" s="66"/>
      <c r="G340" s="66"/>
      <c r="H340" s="66"/>
      <c r="I340" s="66"/>
      <c r="J340" s="376"/>
      <c r="Q340" s="66"/>
      <c r="R340" s="66"/>
      <c r="V340" s="66"/>
      <c r="W340" s="66"/>
    </row>
    <row r="341" spans="6:23" ht="12.75" customHeight="1">
      <c r="F341" s="66"/>
      <c r="G341" s="66"/>
      <c r="H341" s="66"/>
      <c r="I341" s="66"/>
      <c r="J341" s="376"/>
      <c r="Q341" s="66"/>
      <c r="R341" s="66"/>
      <c r="V341" s="66"/>
      <c r="W341" s="66"/>
    </row>
    <row r="342" spans="6:23" ht="12.75" customHeight="1">
      <c r="F342" s="66"/>
      <c r="G342" s="66"/>
      <c r="H342" s="66"/>
      <c r="I342" s="66"/>
      <c r="J342" s="376"/>
      <c r="Q342" s="66"/>
      <c r="R342" s="66"/>
      <c r="V342" s="66"/>
      <c r="W342" s="66"/>
    </row>
    <row r="343" spans="6:23" ht="12.75" customHeight="1">
      <c r="F343" s="66"/>
      <c r="G343" s="66"/>
      <c r="H343" s="66"/>
      <c r="I343" s="66"/>
      <c r="J343" s="376"/>
      <c r="Q343" s="66"/>
      <c r="R343" s="66"/>
      <c r="V343" s="66"/>
      <c r="W343" s="66"/>
    </row>
    <row r="344" spans="6:23" ht="12.75" customHeight="1">
      <c r="F344" s="66"/>
      <c r="G344" s="66"/>
      <c r="H344" s="66"/>
      <c r="I344" s="66"/>
      <c r="J344" s="376"/>
      <c r="Q344" s="66"/>
      <c r="R344" s="66"/>
      <c r="V344" s="66"/>
      <c r="W344" s="66"/>
    </row>
    <row r="345" spans="6:23" ht="12.75" customHeight="1">
      <c r="F345" s="66"/>
      <c r="G345" s="66"/>
      <c r="H345" s="66"/>
      <c r="I345" s="66"/>
      <c r="J345" s="376"/>
      <c r="Q345" s="66"/>
      <c r="R345" s="66"/>
      <c r="V345" s="66"/>
      <c r="W345" s="66"/>
    </row>
    <row r="346" spans="6:23" ht="12.75" customHeight="1">
      <c r="F346" s="66"/>
      <c r="G346" s="66"/>
      <c r="H346" s="66"/>
      <c r="I346" s="66"/>
      <c r="J346" s="376"/>
      <c r="Q346" s="66"/>
      <c r="R346" s="66"/>
      <c r="V346" s="66"/>
      <c r="W346" s="66"/>
    </row>
    <row r="347" spans="6:23" ht="12.75" customHeight="1">
      <c r="F347" s="66"/>
      <c r="G347" s="66"/>
      <c r="H347" s="66"/>
      <c r="I347" s="66"/>
      <c r="J347" s="376"/>
      <c r="Q347" s="66"/>
      <c r="R347" s="66"/>
      <c r="V347" s="66"/>
      <c r="W347" s="66"/>
    </row>
    <row r="348" spans="6:23" ht="12.75" customHeight="1">
      <c r="F348" s="66"/>
      <c r="G348" s="66"/>
      <c r="H348" s="66"/>
      <c r="I348" s="66"/>
      <c r="J348" s="376"/>
      <c r="Q348" s="66"/>
      <c r="R348" s="66"/>
      <c r="V348" s="66"/>
      <c r="W348" s="66"/>
    </row>
    <row r="349" spans="6:23" ht="12.75" customHeight="1">
      <c r="F349" s="66"/>
      <c r="G349" s="66"/>
      <c r="H349" s="66"/>
      <c r="I349" s="66"/>
      <c r="J349" s="376"/>
      <c r="Q349" s="66"/>
      <c r="R349" s="66"/>
      <c r="V349" s="66"/>
      <c r="W349" s="66"/>
    </row>
    <row r="350" spans="6:23" ht="12.75" customHeight="1">
      <c r="F350" s="66"/>
      <c r="G350" s="66"/>
      <c r="H350" s="66"/>
      <c r="I350" s="66"/>
      <c r="J350" s="376"/>
      <c r="Q350" s="66"/>
      <c r="R350" s="66"/>
      <c r="V350" s="66"/>
      <c r="W350" s="66"/>
    </row>
    <row r="351" spans="6:23" ht="12.75" customHeight="1">
      <c r="F351" s="66"/>
      <c r="G351" s="66"/>
      <c r="H351" s="66"/>
      <c r="I351" s="66"/>
      <c r="J351" s="376"/>
      <c r="Q351" s="66"/>
      <c r="R351" s="66"/>
      <c r="V351" s="66"/>
      <c r="W351" s="66"/>
    </row>
    <row r="352" spans="6:23" ht="12.75" customHeight="1">
      <c r="F352" s="66"/>
      <c r="G352" s="66"/>
      <c r="H352" s="66"/>
      <c r="I352" s="66"/>
      <c r="J352" s="376"/>
      <c r="Q352" s="66"/>
      <c r="R352" s="66"/>
      <c r="V352" s="66"/>
      <c r="W352" s="66"/>
    </row>
    <row r="353" spans="6:23" ht="12.75" customHeight="1">
      <c r="F353" s="66"/>
      <c r="G353" s="66"/>
      <c r="H353" s="66"/>
      <c r="I353" s="66"/>
      <c r="J353" s="376"/>
      <c r="Q353" s="66"/>
      <c r="R353" s="66"/>
      <c r="V353" s="66"/>
      <c r="W353" s="66"/>
    </row>
    <row r="354" spans="6:23" ht="12.75" customHeight="1">
      <c r="F354" s="66"/>
      <c r="G354" s="66"/>
      <c r="H354" s="66"/>
      <c r="I354" s="66"/>
      <c r="J354" s="376"/>
      <c r="Q354" s="66"/>
      <c r="R354" s="66"/>
      <c r="V354" s="66"/>
      <c r="W354" s="66"/>
    </row>
    <row r="355" spans="6:23" ht="12.75" customHeight="1">
      <c r="F355" s="66"/>
      <c r="G355" s="66"/>
      <c r="H355" s="66"/>
      <c r="I355" s="66"/>
      <c r="J355" s="376"/>
      <c r="Q355" s="66"/>
      <c r="R355" s="66"/>
      <c r="V355" s="66"/>
      <c r="W355" s="66"/>
    </row>
    <row r="356" spans="6:23" ht="12.75" customHeight="1">
      <c r="F356" s="66"/>
      <c r="G356" s="66"/>
      <c r="H356" s="66"/>
      <c r="I356" s="66"/>
      <c r="J356" s="376"/>
      <c r="Q356" s="66"/>
      <c r="R356" s="66"/>
      <c r="V356" s="66"/>
      <c r="W356" s="66"/>
    </row>
    <row r="357" spans="6:23" ht="12.75" customHeight="1">
      <c r="F357" s="66"/>
      <c r="G357" s="66"/>
      <c r="H357" s="66"/>
      <c r="I357" s="66"/>
      <c r="J357" s="376"/>
      <c r="Q357" s="66"/>
      <c r="R357" s="66"/>
      <c r="V357" s="66"/>
      <c r="W357" s="66"/>
    </row>
    <row r="358" spans="6:23" ht="12.75" customHeight="1">
      <c r="F358" s="66"/>
      <c r="G358" s="66"/>
      <c r="H358" s="66"/>
      <c r="I358" s="66"/>
      <c r="J358" s="376"/>
      <c r="Q358" s="66"/>
      <c r="R358" s="66"/>
      <c r="V358" s="66"/>
      <c r="W358" s="66"/>
    </row>
    <row r="359" spans="6:23" ht="12.75" customHeight="1">
      <c r="F359" s="66"/>
      <c r="G359" s="66"/>
      <c r="H359" s="66"/>
      <c r="I359" s="66"/>
      <c r="J359" s="376"/>
      <c r="Q359" s="66"/>
      <c r="R359" s="66"/>
      <c r="V359" s="66"/>
      <c r="W359" s="66"/>
    </row>
    <row r="360" spans="6:23" ht="12.75" customHeight="1">
      <c r="F360" s="66"/>
      <c r="G360" s="66"/>
      <c r="H360" s="66"/>
      <c r="I360" s="66"/>
      <c r="J360" s="376"/>
      <c r="Q360" s="66"/>
      <c r="R360" s="66"/>
      <c r="V360" s="66"/>
      <c r="W360" s="66"/>
    </row>
    <row r="361" spans="6:23" ht="12.75" customHeight="1">
      <c r="F361" s="66"/>
      <c r="G361" s="66"/>
      <c r="H361" s="66"/>
      <c r="I361" s="66"/>
      <c r="J361" s="376"/>
      <c r="Q361" s="66"/>
      <c r="R361" s="66"/>
      <c r="V361" s="66"/>
      <c r="W361" s="66"/>
    </row>
    <row r="362" spans="6:23" ht="12.75" customHeight="1">
      <c r="F362" s="66"/>
      <c r="G362" s="66"/>
      <c r="H362" s="66"/>
      <c r="I362" s="66"/>
      <c r="J362" s="376"/>
      <c r="Q362" s="66"/>
      <c r="R362" s="66"/>
      <c r="V362" s="66"/>
      <c r="W362" s="66"/>
    </row>
    <row r="363" spans="6:23" ht="12.75" customHeight="1">
      <c r="F363" s="66"/>
      <c r="G363" s="66"/>
      <c r="H363" s="66"/>
      <c r="I363" s="66"/>
      <c r="J363" s="376"/>
      <c r="Q363" s="66"/>
      <c r="R363" s="66"/>
      <c r="V363" s="66"/>
      <c r="W363" s="66"/>
    </row>
    <row r="364" spans="6:23" ht="12.75" customHeight="1">
      <c r="F364" s="66"/>
      <c r="G364" s="66"/>
      <c r="H364" s="66"/>
      <c r="I364" s="66"/>
      <c r="J364" s="376"/>
      <c r="Q364" s="66"/>
      <c r="R364" s="66"/>
      <c r="V364" s="66"/>
      <c r="W364" s="66"/>
    </row>
    <row r="365" spans="6:23" ht="12.75" customHeight="1">
      <c r="F365" s="66"/>
      <c r="G365" s="66"/>
      <c r="H365" s="66"/>
      <c r="I365" s="66"/>
      <c r="J365" s="376"/>
      <c r="Q365" s="66"/>
      <c r="R365" s="66"/>
      <c r="V365" s="66"/>
      <c r="W365" s="66"/>
    </row>
    <row r="366" spans="6:23" ht="12.75" customHeight="1">
      <c r="F366" s="66"/>
      <c r="G366" s="66"/>
      <c r="H366" s="66"/>
      <c r="I366" s="66"/>
      <c r="J366" s="376"/>
      <c r="Q366" s="66"/>
      <c r="R366" s="66"/>
      <c r="V366" s="66"/>
      <c r="W366" s="66"/>
    </row>
    <row r="367" spans="6:23" ht="12.75" customHeight="1">
      <c r="F367" s="66"/>
      <c r="G367" s="66"/>
      <c r="H367" s="66"/>
      <c r="I367" s="66"/>
      <c r="J367" s="376"/>
      <c r="Q367" s="66"/>
      <c r="R367" s="66"/>
      <c r="V367" s="66"/>
      <c r="W367" s="66"/>
    </row>
    <row r="368" spans="6:23" ht="12.75" customHeight="1">
      <c r="F368" s="66"/>
      <c r="G368" s="66"/>
      <c r="H368" s="66"/>
      <c r="I368" s="66"/>
      <c r="J368" s="376"/>
      <c r="Q368" s="66"/>
      <c r="R368" s="66"/>
      <c r="V368" s="66"/>
      <c r="W368" s="66"/>
    </row>
    <row r="369" spans="6:23" ht="12.75" customHeight="1">
      <c r="F369" s="66"/>
      <c r="G369" s="66"/>
      <c r="H369" s="66"/>
      <c r="I369" s="66"/>
      <c r="J369" s="376"/>
      <c r="Q369" s="66"/>
      <c r="R369" s="66"/>
      <c r="V369" s="66"/>
      <c r="W369" s="66"/>
    </row>
    <row r="370" spans="6:23" ht="12.75" customHeight="1">
      <c r="F370" s="66"/>
      <c r="G370" s="66"/>
      <c r="H370" s="66"/>
      <c r="I370" s="66"/>
      <c r="J370" s="376"/>
      <c r="Q370" s="66"/>
      <c r="R370" s="66"/>
      <c r="V370" s="66"/>
      <c r="W370" s="66"/>
    </row>
    <row r="371" spans="6:23" ht="12.75" customHeight="1">
      <c r="F371" s="66"/>
      <c r="G371" s="66"/>
      <c r="H371" s="66"/>
      <c r="I371" s="66"/>
      <c r="J371" s="376"/>
      <c r="Q371" s="66"/>
      <c r="R371" s="66"/>
      <c r="V371" s="66"/>
      <c r="W371" s="66"/>
    </row>
    <row r="372" spans="6:23" ht="12.75" customHeight="1">
      <c r="F372" s="66"/>
      <c r="G372" s="66"/>
      <c r="H372" s="66"/>
      <c r="I372" s="66"/>
      <c r="J372" s="376"/>
      <c r="Q372" s="66"/>
      <c r="R372" s="66"/>
      <c r="V372" s="66"/>
      <c r="W372" s="66"/>
    </row>
    <row r="373" spans="6:23" ht="12.75" customHeight="1">
      <c r="F373" s="66"/>
      <c r="G373" s="66"/>
      <c r="H373" s="66"/>
      <c r="I373" s="66"/>
      <c r="J373" s="376"/>
      <c r="Q373" s="66"/>
      <c r="R373" s="66"/>
      <c r="V373" s="66"/>
      <c r="W373" s="66"/>
    </row>
    <row r="374" spans="6:23" ht="12.75" customHeight="1">
      <c r="F374" s="66"/>
      <c r="G374" s="66"/>
      <c r="H374" s="66"/>
      <c r="I374" s="66"/>
      <c r="J374" s="376"/>
      <c r="Q374" s="66"/>
      <c r="R374" s="66"/>
      <c r="V374" s="66"/>
      <c r="W374" s="66"/>
    </row>
    <row r="375" spans="6:23" ht="12.75" customHeight="1">
      <c r="F375" s="66"/>
      <c r="G375" s="66"/>
      <c r="H375" s="66"/>
      <c r="I375" s="66"/>
      <c r="J375" s="376"/>
      <c r="Q375" s="66"/>
      <c r="R375" s="66"/>
      <c r="V375" s="66"/>
      <c r="W375" s="66"/>
    </row>
    <row r="376" spans="6:23" ht="12.75" customHeight="1">
      <c r="F376" s="66"/>
      <c r="G376" s="66"/>
      <c r="H376" s="66"/>
      <c r="I376" s="66"/>
      <c r="J376" s="376"/>
      <c r="Q376" s="66"/>
      <c r="R376" s="66"/>
      <c r="V376" s="66"/>
      <c r="W376" s="66"/>
    </row>
    <row r="377" spans="6:23" ht="12.75" customHeight="1">
      <c r="F377" s="66"/>
      <c r="G377" s="66"/>
      <c r="H377" s="66"/>
      <c r="I377" s="66"/>
      <c r="J377" s="376"/>
      <c r="Q377" s="66"/>
      <c r="R377" s="66"/>
      <c r="V377" s="66"/>
      <c r="W377" s="66"/>
    </row>
    <row r="378" spans="6:23" ht="12.75" customHeight="1">
      <c r="F378" s="66"/>
      <c r="G378" s="66"/>
      <c r="H378" s="66"/>
      <c r="I378" s="66"/>
      <c r="J378" s="376"/>
      <c r="Q378" s="66"/>
      <c r="R378" s="66"/>
      <c r="V378" s="66"/>
      <c r="W378" s="66"/>
    </row>
    <row r="379" spans="6:23" ht="12.75" customHeight="1">
      <c r="F379" s="66"/>
      <c r="G379" s="66"/>
      <c r="H379" s="66"/>
      <c r="I379" s="66"/>
      <c r="J379" s="376"/>
      <c r="Q379" s="66"/>
      <c r="R379" s="66"/>
      <c r="V379" s="66"/>
      <c r="W379" s="66"/>
    </row>
    <row r="380" spans="6:23" ht="12.75" customHeight="1">
      <c r="F380" s="66"/>
      <c r="G380" s="66"/>
      <c r="H380" s="66"/>
      <c r="I380" s="66"/>
      <c r="J380" s="376"/>
      <c r="Q380" s="66"/>
      <c r="R380" s="66"/>
      <c r="V380" s="66"/>
      <c r="W380" s="66"/>
    </row>
    <row r="381" spans="6:23" ht="12.75" customHeight="1">
      <c r="F381" s="66"/>
      <c r="G381" s="66"/>
      <c r="H381" s="66"/>
      <c r="I381" s="66"/>
      <c r="J381" s="376"/>
      <c r="Q381" s="66"/>
      <c r="R381" s="66"/>
      <c r="V381" s="66"/>
      <c r="W381" s="66"/>
    </row>
    <row r="382" spans="6:23" ht="12.75" customHeight="1">
      <c r="F382" s="66"/>
      <c r="G382" s="66"/>
      <c r="H382" s="66"/>
      <c r="I382" s="66"/>
      <c r="J382" s="376"/>
      <c r="Q382" s="66"/>
      <c r="R382" s="66"/>
      <c r="V382" s="66"/>
      <c r="W382" s="66"/>
    </row>
    <row r="383" spans="6:23" ht="12.75" customHeight="1">
      <c r="F383" s="66"/>
      <c r="G383" s="66"/>
      <c r="H383" s="66"/>
      <c r="I383" s="66"/>
      <c r="J383" s="376"/>
      <c r="Q383" s="66"/>
      <c r="R383" s="66"/>
      <c r="V383" s="66"/>
      <c r="W383" s="66"/>
    </row>
    <row r="384" spans="6:23" ht="12.75" customHeight="1">
      <c r="F384" s="66"/>
      <c r="G384" s="66"/>
      <c r="H384" s="66"/>
      <c r="I384" s="66"/>
      <c r="J384" s="376"/>
      <c r="Q384" s="66"/>
      <c r="R384" s="66"/>
      <c r="V384" s="66"/>
      <c r="W384" s="66"/>
    </row>
    <row r="385" spans="6:23" ht="12.75" customHeight="1">
      <c r="F385" s="66"/>
      <c r="G385" s="66"/>
      <c r="H385" s="66"/>
      <c r="I385" s="66"/>
      <c r="J385" s="376"/>
      <c r="Q385" s="66"/>
      <c r="R385" s="66"/>
      <c r="V385" s="66"/>
      <c r="W385" s="66"/>
    </row>
    <row r="386" spans="6:23" ht="12.75" customHeight="1">
      <c r="F386" s="66"/>
      <c r="G386" s="66"/>
      <c r="H386" s="66"/>
      <c r="I386" s="66"/>
      <c r="J386" s="376"/>
      <c r="Q386" s="66"/>
      <c r="R386" s="66"/>
      <c r="V386" s="66"/>
      <c r="W386" s="66"/>
    </row>
    <row r="387" spans="6:23" ht="12.75" customHeight="1">
      <c r="F387" s="66"/>
      <c r="G387" s="66"/>
      <c r="H387" s="66"/>
      <c r="I387" s="66"/>
      <c r="J387" s="376"/>
      <c r="Q387" s="66"/>
      <c r="R387" s="66"/>
      <c r="V387" s="66"/>
      <c r="W387" s="66"/>
    </row>
    <row r="388" spans="6:23" ht="12.75" customHeight="1">
      <c r="F388" s="66"/>
      <c r="G388" s="66"/>
      <c r="H388" s="66"/>
      <c r="I388" s="66"/>
      <c r="J388" s="376"/>
      <c r="Q388" s="66"/>
      <c r="R388" s="66"/>
      <c r="V388" s="66"/>
      <c r="W388" s="66"/>
    </row>
    <row r="389" spans="6:23" ht="12.75" customHeight="1">
      <c r="F389" s="66"/>
      <c r="G389" s="66"/>
      <c r="H389" s="66"/>
      <c r="I389" s="66"/>
      <c r="J389" s="376"/>
      <c r="Q389" s="66"/>
      <c r="R389" s="66"/>
      <c r="V389" s="66"/>
      <c r="W389" s="66"/>
    </row>
    <row r="390" spans="6:23" ht="12.75" customHeight="1">
      <c r="F390" s="66"/>
      <c r="G390" s="66"/>
      <c r="H390" s="66"/>
      <c r="I390" s="66"/>
      <c r="J390" s="376"/>
      <c r="Q390" s="66"/>
      <c r="R390" s="66"/>
      <c r="V390" s="66"/>
      <c r="W390" s="66"/>
    </row>
    <row r="391" spans="6:23" ht="12.75" customHeight="1">
      <c r="F391" s="66"/>
      <c r="G391" s="66"/>
      <c r="H391" s="66"/>
      <c r="I391" s="66"/>
      <c r="J391" s="376"/>
      <c r="Q391" s="66"/>
      <c r="R391" s="66"/>
      <c r="V391" s="66"/>
      <c r="W391" s="66"/>
    </row>
    <row r="392" spans="6:23" ht="12.75" customHeight="1">
      <c r="F392" s="66"/>
      <c r="G392" s="66"/>
      <c r="H392" s="66"/>
      <c r="I392" s="66"/>
      <c r="J392" s="376"/>
      <c r="Q392" s="66"/>
      <c r="R392" s="66"/>
      <c r="V392" s="66"/>
      <c r="W392" s="66"/>
    </row>
    <row r="393" spans="6:23" ht="12.75" customHeight="1">
      <c r="F393" s="66"/>
      <c r="G393" s="66"/>
      <c r="H393" s="66"/>
      <c r="I393" s="66"/>
      <c r="J393" s="376"/>
      <c r="Q393" s="66"/>
      <c r="R393" s="66"/>
      <c r="V393" s="66"/>
      <c r="W393" s="66"/>
    </row>
    <row r="394" spans="6:23" ht="12.75" customHeight="1">
      <c r="F394" s="66"/>
      <c r="G394" s="66"/>
      <c r="H394" s="66"/>
      <c r="I394" s="66"/>
      <c r="J394" s="376"/>
      <c r="Q394" s="66"/>
      <c r="R394" s="66"/>
      <c r="V394" s="66"/>
      <c r="W394" s="66"/>
    </row>
    <row r="395" spans="6:23" ht="12.75" customHeight="1">
      <c r="F395" s="66"/>
      <c r="G395" s="66"/>
      <c r="H395" s="66"/>
      <c r="I395" s="66"/>
      <c r="J395" s="376"/>
      <c r="Q395" s="66"/>
      <c r="R395" s="66"/>
      <c r="V395" s="66"/>
      <c r="W395" s="66"/>
    </row>
    <row r="396" spans="6:23" ht="12.75" customHeight="1">
      <c r="F396" s="66"/>
      <c r="G396" s="66"/>
      <c r="H396" s="66"/>
      <c r="I396" s="66"/>
      <c r="J396" s="376"/>
      <c r="Q396" s="66"/>
      <c r="R396" s="66"/>
      <c r="V396" s="66"/>
      <c r="W396" s="66"/>
    </row>
    <row r="397" spans="6:23" ht="12.75" customHeight="1">
      <c r="F397" s="66"/>
      <c r="G397" s="66"/>
      <c r="H397" s="66"/>
      <c r="I397" s="66"/>
      <c r="J397" s="376"/>
      <c r="Q397" s="66"/>
      <c r="R397" s="66"/>
      <c r="V397" s="66"/>
      <c r="W397" s="66"/>
    </row>
    <row r="398" spans="6:23" ht="12.75" customHeight="1">
      <c r="F398" s="66"/>
      <c r="G398" s="66"/>
      <c r="H398" s="66"/>
      <c r="I398" s="66"/>
      <c r="J398" s="376"/>
      <c r="Q398" s="66"/>
      <c r="R398" s="66"/>
      <c r="V398" s="66"/>
      <c r="W398" s="66"/>
    </row>
    <row r="399" spans="6:23" ht="12.75" customHeight="1">
      <c r="F399" s="66"/>
      <c r="G399" s="66"/>
      <c r="H399" s="66"/>
      <c r="I399" s="66"/>
      <c r="J399" s="376"/>
      <c r="Q399" s="66"/>
      <c r="R399" s="66"/>
      <c r="V399" s="66"/>
      <c r="W399" s="66"/>
    </row>
    <row r="400" spans="6:23" ht="12.75" customHeight="1">
      <c r="F400" s="66"/>
      <c r="G400" s="66"/>
      <c r="H400" s="66"/>
      <c r="I400" s="66"/>
      <c r="J400" s="376"/>
      <c r="Q400" s="66"/>
      <c r="R400" s="66"/>
      <c r="V400" s="66"/>
      <c r="W400" s="66"/>
    </row>
    <row r="401" spans="6:23" ht="12.75" customHeight="1">
      <c r="F401" s="66"/>
      <c r="G401" s="66"/>
      <c r="H401" s="66"/>
      <c r="I401" s="66"/>
      <c r="J401" s="376"/>
      <c r="Q401" s="66"/>
      <c r="R401" s="66"/>
      <c r="V401" s="66"/>
      <c r="W401" s="66"/>
    </row>
    <row r="402" spans="6:23" ht="12.75" customHeight="1">
      <c r="F402" s="66"/>
      <c r="G402" s="66"/>
      <c r="H402" s="66"/>
      <c r="I402" s="66"/>
      <c r="J402" s="376"/>
      <c r="Q402" s="66"/>
      <c r="R402" s="66"/>
      <c r="V402" s="66"/>
      <c r="W402" s="66"/>
    </row>
    <row r="403" spans="6:23" ht="12.75" customHeight="1">
      <c r="F403" s="66"/>
      <c r="G403" s="66"/>
      <c r="H403" s="66"/>
      <c r="I403" s="66"/>
      <c r="J403" s="376"/>
      <c r="Q403" s="66"/>
      <c r="R403" s="66"/>
      <c r="V403" s="66"/>
      <c r="W403" s="66"/>
    </row>
    <row r="404" spans="6:23" ht="12.75" customHeight="1">
      <c r="F404" s="66"/>
      <c r="G404" s="66"/>
      <c r="H404" s="66"/>
      <c r="I404" s="66"/>
      <c r="J404" s="376"/>
      <c r="Q404" s="66"/>
      <c r="R404" s="66"/>
      <c r="V404" s="66"/>
      <c r="W404" s="66"/>
    </row>
    <row r="405" spans="6:23" ht="12.75" customHeight="1">
      <c r="F405" s="66"/>
      <c r="G405" s="66"/>
      <c r="H405" s="66"/>
      <c r="I405" s="66"/>
      <c r="J405" s="376"/>
      <c r="Q405" s="66"/>
      <c r="R405" s="66"/>
      <c r="V405" s="66"/>
      <c r="W405" s="66"/>
    </row>
    <row r="406" spans="6:23" ht="12.75" customHeight="1">
      <c r="F406" s="66"/>
      <c r="G406" s="66"/>
      <c r="H406" s="66"/>
      <c r="I406" s="66"/>
      <c r="J406" s="376"/>
      <c r="Q406" s="66"/>
      <c r="R406" s="66"/>
      <c r="V406" s="66"/>
      <c r="W406" s="66"/>
    </row>
    <row r="407" spans="6:23" ht="12.75" customHeight="1">
      <c r="F407" s="66"/>
      <c r="G407" s="66"/>
      <c r="H407" s="66"/>
      <c r="I407" s="66"/>
      <c r="J407" s="376"/>
      <c r="Q407" s="66"/>
      <c r="R407" s="66"/>
      <c r="V407" s="66"/>
      <c r="W407" s="66"/>
    </row>
    <row r="408" spans="6:23" ht="12.75" customHeight="1">
      <c r="F408" s="66"/>
      <c r="G408" s="66"/>
      <c r="H408" s="66"/>
      <c r="I408" s="66"/>
      <c r="J408" s="376"/>
      <c r="Q408" s="66"/>
      <c r="R408" s="66"/>
      <c r="V408" s="66"/>
      <c r="W408" s="66"/>
    </row>
    <row r="409" spans="6:23" ht="12.75" customHeight="1">
      <c r="F409" s="66"/>
      <c r="G409" s="66"/>
      <c r="H409" s="66"/>
      <c r="I409" s="66"/>
      <c r="J409" s="376"/>
      <c r="Q409" s="66"/>
      <c r="R409" s="66"/>
      <c r="V409" s="66"/>
      <c r="W409" s="66"/>
    </row>
    <row r="410" spans="6:23" ht="12.75" customHeight="1">
      <c r="F410" s="66"/>
      <c r="G410" s="66"/>
      <c r="H410" s="66"/>
      <c r="I410" s="66"/>
      <c r="J410" s="376"/>
      <c r="Q410" s="66"/>
      <c r="R410" s="66"/>
      <c r="V410" s="66"/>
      <c r="W410" s="66"/>
    </row>
    <row r="411" spans="6:23" ht="12.75" customHeight="1">
      <c r="F411" s="66"/>
      <c r="G411" s="66"/>
      <c r="H411" s="66"/>
      <c r="I411" s="66"/>
      <c r="J411" s="376"/>
      <c r="Q411" s="66"/>
      <c r="R411" s="66"/>
      <c r="V411" s="66"/>
      <c r="W411" s="66"/>
    </row>
    <row r="412" spans="6:23" ht="12.75" customHeight="1">
      <c r="F412" s="66"/>
      <c r="G412" s="66"/>
      <c r="H412" s="66"/>
      <c r="I412" s="66"/>
      <c r="J412" s="376"/>
      <c r="Q412" s="66"/>
      <c r="R412" s="66"/>
      <c r="V412" s="66"/>
      <c r="W412" s="66"/>
    </row>
    <row r="413" spans="6:23" ht="12.75" customHeight="1">
      <c r="F413" s="66"/>
      <c r="G413" s="66"/>
      <c r="H413" s="66"/>
      <c r="I413" s="66"/>
      <c r="J413" s="376"/>
      <c r="Q413" s="66"/>
      <c r="R413" s="66"/>
      <c r="V413" s="66"/>
      <c r="W413" s="66"/>
    </row>
    <row r="414" spans="6:23" ht="12.75" customHeight="1">
      <c r="F414" s="66"/>
      <c r="G414" s="66"/>
      <c r="H414" s="66"/>
      <c r="I414" s="66"/>
      <c r="J414" s="376"/>
      <c r="Q414" s="66"/>
      <c r="R414" s="66"/>
      <c r="V414" s="66"/>
      <c r="W414" s="66"/>
    </row>
    <row r="415" spans="6:23" ht="12.75" customHeight="1">
      <c r="F415" s="66"/>
      <c r="G415" s="66"/>
      <c r="H415" s="66"/>
      <c r="I415" s="66"/>
      <c r="J415" s="376"/>
      <c r="Q415" s="66"/>
      <c r="R415" s="66"/>
      <c r="V415" s="66"/>
      <c r="W415" s="66"/>
    </row>
    <row r="416" spans="6:23" ht="12.75" customHeight="1">
      <c r="F416" s="66"/>
      <c r="G416" s="66"/>
      <c r="H416" s="66"/>
      <c r="I416" s="66"/>
      <c r="J416" s="376"/>
      <c r="Q416" s="66"/>
      <c r="R416" s="66"/>
      <c r="V416" s="66"/>
      <c r="W416" s="66"/>
    </row>
    <row r="417" spans="6:23" ht="12.75" customHeight="1">
      <c r="F417" s="66"/>
      <c r="G417" s="66"/>
      <c r="H417" s="66"/>
      <c r="I417" s="66"/>
      <c r="J417" s="376"/>
      <c r="Q417" s="66"/>
      <c r="R417" s="66"/>
      <c r="V417" s="66"/>
      <c r="W417" s="66"/>
    </row>
    <row r="418" spans="6:23" ht="12.75" customHeight="1">
      <c r="F418" s="66"/>
      <c r="G418" s="66"/>
      <c r="H418" s="66"/>
      <c r="I418" s="66"/>
      <c r="J418" s="376"/>
      <c r="Q418" s="66"/>
      <c r="R418" s="66"/>
      <c r="V418" s="66"/>
      <c r="W418" s="66"/>
    </row>
    <row r="419" spans="6:23" ht="12.75" customHeight="1">
      <c r="F419" s="66"/>
      <c r="G419" s="66"/>
      <c r="H419" s="66"/>
      <c r="I419" s="66"/>
      <c r="J419" s="376"/>
      <c r="Q419" s="66"/>
      <c r="R419" s="66"/>
      <c r="V419" s="66"/>
      <c r="W419" s="66"/>
    </row>
    <row r="420" spans="6:23" ht="12.75" customHeight="1">
      <c r="F420" s="66"/>
      <c r="G420" s="66"/>
      <c r="H420" s="66"/>
      <c r="I420" s="66"/>
      <c r="J420" s="376"/>
      <c r="Q420" s="66"/>
      <c r="R420" s="66"/>
      <c r="V420" s="66"/>
      <c r="W420" s="66"/>
    </row>
    <row r="421" spans="6:23" ht="12.75" customHeight="1">
      <c r="F421" s="66"/>
      <c r="G421" s="66"/>
      <c r="H421" s="66"/>
      <c r="I421" s="66"/>
      <c r="J421" s="376"/>
      <c r="Q421" s="66"/>
      <c r="R421" s="66"/>
      <c r="V421" s="66"/>
      <c r="W421" s="66"/>
    </row>
    <row r="422" spans="6:23" ht="12.75" customHeight="1">
      <c r="F422" s="66"/>
      <c r="G422" s="66"/>
      <c r="H422" s="66"/>
      <c r="I422" s="66"/>
      <c r="J422" s="376"/>
      <c r="Q422" s="66"/>
      <c r="R422" s="66"/>
      <c r="V422" s="66"/>
      <c r="W422" s="66"/>
    </row>
    <row r="423" spans="6:23" ht="12.75" customHeight="1">
      <c r="F423" s="66"/>
      <c r="G423" s="66"/>
      <c r="H423" s="66"/>
      <c r="I423" s="66"/>
      <c r="J423" s="376"/>
      <c r="Q423" s="66"/>
      <c r="R423" s="66"/>
      <c r="V423" s="66"/>
      <c r="W423" s="66"/>
    </row>
    <row r="424" spans="6:23" ht="12.75" customHeight="1">
      <c r="F424" s="66"/>
      <c r="G424" s="66"/>
      <c r="H424" s="66"/>
      <c r="I424" s="66"/>
      <c r="J424" s="376"/>
      <c r="Q424" s="66"/>
      <c r="R424" s="66"/>
      <c r="V424" s="66"/>
      <c r="W424" s="66"/>
    </row>
    <row r="425" spans="6:23" ht="12.75" customHeight="1">
      <c r="F425" s="66"/>
      <c r="G425" s="66"/>
      <c r="H425" s="66"/>
      <c r="I425" s="66"/>
      <c r="J425" s="376"/>
      <c r="Q425" s="66"/>
      <c r="R425" s="66"/>
      <c r="V425" s="66"/>
      <c r="W425" s="66"/>
    </row>
    <row r="426" spans="6:23" ht="12.75" customHeight="1">
      <c r="F426" s="66"/>
      <c r="G426" s="66"/>
      <c r="H426" s="66"/>
      <c r="I426" s="66"/>
      <c r="J426" s="376"/>
      <c r="Q426" s="66"/>
      <c r="R426" s="66"/>
      <c r="V426" s="66"/>
      <c r="W426" s="66"/>
    </row>
    <row r="427" spans="6:23" ht="12.75" customHeight="1">
      <c r="F427" s="66"/>
      <c r="G427" s="66"/>
      <c r="H427" s="66"/>
      <c r="I427" s="66"/>
      <c r="J427" s="376"/>
      <c r="Q427" s="66"/>
      <c r="R427" s="66"/>
      <c r="V427" s="66"/>
      <c r="W427" s="66"/>
    </row>
    <row r="428" spans="6:23" ht="12.75" customHeight="1">
      <c r="F428" s="66"/>
      <c r="G428" s="66"/>
      <c r="H428" s="66"/>
      <c r="I428" s="66"/>
      <c r="J428" s="376"/>
      <c r="Q428" s="66"/>
      <c r="R428" s="66"/>
      <c r="V428" s="66"/>
      <c r="W428" s="66"/>
    </row>
    <row r="429" spans="6:23" ht="12.75" customHeight="1">
      <c r="F429" s="66"/>
      <c r="G429" s="66"/>
      <c r="H429" s="66"/>
      <c r="I429" s="66"/>
      <c r="J429" s="376"/>
      <c r="Q429" s="66"/>
      <c r="R429" s="66"/>
      <c r="V429" s="66"/>
      <c r="W429" s="66"/>
    </row>
    <row r="430" spans="6:23" ht="12.75" customHeight="1">
      <c r="F430" s="66"/>
      <c r="G430" s="66"/>
      <c r="H430" s="66"/>
      <c r="I430" s="66"/>
      <c r="J430" s="376"/>
      <c r="Q430" s="66"/>
      <c r="R430" s="66"/>
      <c r="V430" s="66"/>
      <c r="W430" s="66"/>
    </row>
    <row r="431" spans="6:23" ht="12.75" customHeight="1">
      <c r="F431" s="66"/>
      <c r="G431" s="66"/>
      <c r="H431" s="66"/>
      <c r="I431" s="66"/>
      <c r="J431" s="376"/>
      <c r="Q431" s="66"/>
      <c r="R431" s="66"/>
      <c r="V431" s="66"/>
      <c r="W431" s="66"/>
    </row>
    <row r="432" spans="6:23" ht="12.75" customHeight="1">
      <c r="F432" s="66"/>
      <c r="G432" s="66"/>
      <c r="H432" s="66"/>
      <c r="I432" s="66"/>
      <c r="J432" s="376"/>
      <c r="Q432" s="66"/>
      <c r="R432" s="66"/>
      <c r="V432" s="66"/>
      <c r="W432" s="66"/>
    </row>
    <row r="433" spans="6:23" ht="12.75" customHeight="1">
      <c r="F433" s="66"/>
      <c r="G433" s="66"/>
      <c r="H433" s="66"/>
      <c r="I433" s="66"/>
      <c r="J433" s="376"/>
      <c r="Q433" s="66"/>
      <c r="R433" s="66"/>
      <c r="V433" s="66"/>
      <c r="W433" s="66"/>
    </row>
    <row r="434" spans="6:23" ht="12.75" customHeight="1">
      <c r="F434" s="66"/>
      <c r="G434" s="66"/>
      <c r="H434" s="66"/>
      <c r="I434" s="66"/>
      <c r="J434" s="376"/>
      <c r="Q434" s="66"/>
      <c r="R434" s="66"/>
      <c r="V434" s="66"/>
      <c r="W434" s="66"/>
    </row>
    <row r="435" spans="6:23" ht="12.75" customHeight="1">
      <c r="F435" s="66"/>
      <c r="G435" s="66"/>
      <c r="H435" s="66"/>
      <c r="I435" s="66"/>
      <c r="J435" s="376"/>
      <c r="Q435" s="66"/>
      <c r="R435" s="66"/>
      <c r="V435" s="66"/>
      <c r="W435" s="66"/>
    </row>
    <row r="436" spans="6:23" ht="12.75" customHeight="1">
      <c r="F436" s="66"/>
      <c r="G436" s="66"/>
      <c r="H436" s="66"/>
      <c r="I436" s="66"/>
      <c r="J436" s="376"/>
      <c r="Q436" s="66"/>
      <c r="R436" s="66"/>
      <c r="V436" s="66"/>
      <c r="W436" s="66"/>
    </row>
    <row r="437" spans="6:23" ht="12.75" customHeight="1">
      <c r="F437" s="66"/>
      <c r="G437" s="66"/>
      <c r="H437" s="66"/>
      <c r="I437" s="66"/>
      <c r="J437" s="376"/>
      <c r="Q437" s="66"/>
      <c r="R437" s="66"/>
      <c r="V437" s="66"/>
      <c r="W437" s="66"/>
    </row>
    <row r="438" spans="6:23" ht="12.75" customHeight="1">
      <c r="F438" s="66"/>
      <c r="G438" s="66"/>
      <c r="H438" s="66"/>
      <c r="I438" s="66"/>
      <c r="J438" s="376"/>
      <c r="Q438" s="66"/>
      <c r="R438" s="66"/>
      <c r="V438" s="66"/>
      <c r="W438" s="66"/>
    </row>
    <row r="439" spans="6:23" ht="12.75" customHeight="1">
      <c r="F439" s="66"/>
      <c r="G439" s="66"/>
      <c r="H439" s="66"/>
      <c r="I439" s="66"/>
      <c r="J439" s="376"/>
      <c r="Q439" s="66"/>
      <c r="R439" s="66"/>
      <c r="V439" s="66"/>
      <c r="W439" s="66"/>
    </row>
    <row r="440" spans="6:23" ht="12.75" customHeight="1">
      <c r="F440" s="66"/>
      <c r="G440" s="66"/>
      <c r="H440" s="66"/>
      <c r="I440" s="66"/>
      <c r="J440" s="376"/>
      <c r="Q440" s="66"/>
      <c r="R440" s="66"/>
      <c r="V440" s="66"/>
      <c r="W440" s="66"/>
    </row>
    <row r="441" spans="6:23" ht="12.75" customHeight="1">
      <c r="F441" s="66"/>
      <c r="G441" s="66"/>
      <c r="H441" s="66"/>
      <c r="I441" s="66"/>
      <c r="J441" s="376"/>
      <c r="Q441" s="66"/>
      <c r="R441" s="66"/>
      <c r="V441" s="66"/>
      <c r="W441" s="66"/>
    </row>
    <row r="442" spans="6:23" ht="12.75" customHeight="1">
      <c r="F442" s="66"/>
      <c r="G442" s="66"/>
      <c r="H442" s="66"/>
      <c r="I442" s="66"/>
      <c r="J442" s="376"/>
      <c r="Q442" s="66"/>
      <c r="R442" s="66"/>
      <c r="V442" s="66"/>
      <c r="W442" s="66"/>
    </row>
    <row r="443" spans="6:23" ht="12.75" customHeight="1">
      <c r="F443" s="66"/>
      <c r="G443" s="66"/>
      <c r="H443" s="66"/>
      <c r="I443" s="66"/>
      <c r="J443" s="376"/>
      <c r="Q443" s="66"/>
      <c r="R443" s="66"/>
      <c r="V443" s="66"/>
      <c r="W443" s="66"/>
    </row>
    <row r="444" spans="6:23" ht="12.75" customHeight="1">
      <c r="F444" s="66"/>
      <c r="G444" s="66"/>
      <c r="H444" s="66"/>
      <c r="I444" s="66"/>
      <c r="J444" s="376"/>
      <c r="Q444" s="66"/>
      <c r="R444" s="66"/>
      <c r="V444" s="66"/>
      <c r="W444" s="66"/>
    </row>
    <row r="445" spans="6:23" ht="12.75" customHeight="1">
      <c r="F445" s="66"/>
      <c r="G445" s="66"/>
      <c r="H445" s="66"/>
      <c r="I445" s="66"/>
      <c r="J445" s="376"/>
      <c r="Q445" s="66"/>
      <c r="R445" s="66"/>
      <c r="V445" s="66"/>
      <c r="W445" s="66"/>
    </row>
    <row r="446" spans="6:23" ht="12.75" customHeight="1">
      <c r="F446" s="66"/>
      <c r="G446" s="66"/>
      <c r="H446" s="66"/>
      <c r="I446" s="66"/>
      <c r="J446" s="376"/>
      <c r="Q446" s="66"/>
      <c r="R446" s="66"/>
      <c r="V446" s="66"/>
      <c r="W446" s="66"/>
    </row>
    <row r="447" spans="6:23" ht="12.75" customHeight="1">
      <c r="F447" s="66"/>
      <c r="G447" s="66"/>
      <c r="H447" s="66"/>
      <c r="I447" s="66"/>
      <c r="J447" s="376"/>
      <c r="Q447" s="66"/>
      <c r="R447" s="66"/>
      <c r="V447" s="66"/>
      <c r="W447" s="66"/>
    </row>
    <row r="448" spans="6:23" ht="12.75" customHeight="1">
      <c r="F448" s="66"/>
      <c r="G448" s="66"/>
      <c r="H448" s="66"/>
      <c r="I448" s="66"/>
      <c r="J448" s="376"/>
      <c r="Q448" s="66"/>
      <c r="R448" s="66"/>
      <c r="V448" s="66"/>
      <c r="W448" s="66"/>
    </row>
    <row r="449" spans="6:23" ht="12.75" customHeight="1">
      <c r="F449" s="66"/>
      <c r="G449" s="66"/>
      <c r="H449" s="66"/>
      <c r="I449" s="66"/>
      <c r="J449" s="376"/>
      <c r="Q449" s="66"/>
      <c r="R449" s="66"/>
      <c r="V449" s="66"/>
      <c r="W449" s="66"/>
    </row>
    <row r="450" spans="6:23" ht="12.75" customHeight="1">
      <c r="F450" s="66"/>
      <c r="G450" s="66"/>
      <c r="H450" s="66"/>
      <c r="I450" s="66"/>
      <c r="J450" s="376"/>
      <c r="Q450" s="66"/>
      <c r="R450" s="66"/>
      <c r="V450" s="66"/>
      <c r="W450" s="66"/>
    </row>
    <row r="451" spans="6:23" ht="12.75" customHeight="1">
      <c r="F451" s="66"/>
      <c r="G451" s="66"/>
      <c r="H451" s="66"/>
      <c r="I451" s="66"/>
      <c r="J451" s="376"/>
      <c r="Q451" s="66"/>
      <c r="R451" s="66"/>
      <c r="V451" s="66"/>
      <c r="W451" s="66"/>
    </row>
    <row r="452" spans="6:23" ht="12.75" customHeight="1">
      <c r="F452" s="66"/>
      <c r="G452" s="66"/>
      <c r="H452" s="66"/>
      <c r="I452" s="66"/>
      <c r="J452" s="376"/>
      <c r="Q452" s="66"/>
      <c r="R452" s="66"/>
      <c r="V452" s="66"/>
      <c r="W452" s="66"/>
    </row>
    <row r="453" spans="6:23" ht="12.75" customHeight="1">
      <c r="F453" s="66"/>
      <c r="G453" s="66"/>
      <c r="H453" s="66"/>
      <c r="I453" s="66"/>
      <c r="J453" s="376"/>
      <c r="Q453" s="66"/>
      <c r="R453" s="66"/>
      <c r="V453" s="66"/>
      <c r="W453" s="66"/>
    </row>
    <row r="454" spans="6:23" ht="12.75" customHeight="1">
      <c r="F454" s="66"/>
      <c r="G454" s="66"/>
      <c r="H454" s="66"/>
      <c r="I454" s="66"/>
      <c r="J454" s="376"/>
      <c r="Q454" s="66"/>
      <c r="R454" s="66"/>
      <c r="V454" s="66"/>
      <c r="W454" s="66"/>
    </row>
    <row r="455" spans="6:23" ht="12.75" customHeight="1">
      <c r="F455" s="66"/>
      <c r="G455" s="66"/>
      <c r="H455" s="66"/>
      <c r="I455" s="66"/>
      <c r="J455" s="376"/>
      <c r="Q455" s="66"/>
      <c r="R455" s="66"/>
      <c r="V455" s="66"/>
      <c r="W455" s="66"/>
    </row>
    <row r="456" spans="6:23" ht="12.75" customHeight="1">
      <c r="F456" s="66"/>
      <c r="G456" s="66"/>
      <c r="H456" s="66"/>
      <c r="I456" s="66"/>
      <c r="J456" s="376"/>
      <c r="Q456" s="66"/>
      <c r="R456" s="66"/>
      <c r="V456" s="66"/>
      <c r="W456" s="66"/>
    </row>
    <row r="457" spans="6:23" ht="12.75" customHeight="1">
      <c r="F457" s="66"/>
      <c r="G457" s="66"/>
      <c r="H457" s="66"/>
      <c r="I457" s="66"/>
      <c r="J457" s="376"/>
      <c r="Q457" s="66"/>
      <c r="R457" s="66"/>
      <c r="V457" s="66"/>
      <c r="W457" s="66"/>
    </row>
    <row r="458" spans="6:23" ht="12.75" customHeight="1">
      <c r="F458" s="66"/>
      <c r="G458" s="66"/>
      <c r="H458" s="66"/>
      <c r="I458" s="66"/>
      <c r="J458" s="376"/>
      <c r="Q458" s="66"/>
      <c r="R458" s="66"/>
      <c r="V458" s="66"/>
      <c r="W458" s="66"/>
    </row>
    <row r="459" spans="6:23" ht="12.75" customHeight="1">
      <c r="F459" s="66"/>
      <c r="G459" s="66"/>
      <c r="H459" s="66"/>
      <c r="I459" s="66"/>
      <c r="J459" s="376"/>
      <c r="Q459" s="66"/>
      <c r="R459" s="66"/>
      <c r="V459" s="66"/>
      <c r="W459" s="66"/>
    </row>
    <row r="460" spans="6:23" ht="12.75" customHeight="1">
      <c r="F460" s="66"/>
      <c r="G460" s="66"/>
      <c r="H460" s="66"/>
      <c r="I460" s="66"/>
      <c r="J460" s="376"/>
      <c r="Q460" s="66"/>
      <c r="R460" s="66"/>
      <c r="V460" s="66"/>
      <c r="W460" s="66"/>
    </row>
    <row r="461" spans="6:23" ht="12.75" customHeight="1">
      <c r="F461" s="66"/>
      <c r="G461" s="66"/>
      <c r="H461" s="66"/>
      <c r="I461" s="66"/>
      <c r="J461" s="376"/>
      <c r="Q461" s="66"/>
      <c r="R461" s="66"/>
      <c r="V461" s="66"/>
      <c r="W461" s="66"/>
    </row>
    <row r="462" spans="6:23" ht="12.75" customHeight="1">
      <c r="F462" s="66"/>
      <c r="G462" s="66"/>
      <c r="H462" s="66"/>
      <c r="I462" s="66"/>
      <c r="J462" s="376"/>
      <c r="Q462" s="66"/>
      <c r="R462" s="66"/>
      <c r="V462" s="66"/>
      <c r="W462" s="66"/>
    </row>
    <row r="463" spans="6:23" ht="12.75" customHeight="1">
      <c r="F463" s="66"/>
      <c r="G463" s="66"/>
      <c r="H463" s="66"/>
      <c r="I463" s="66"/>
      <c r="J463" s="376"/>
      <c r="Q463" s="66"/>
      <c r="R463" s="66"/>
      <c r="V463" s="66"/>
      <c r="W463" s="66"/>
    </row>
    <row r="464" spans="6:23" ht="12.75" customHeight="1">
      <c r="F464" s="66"/>
      <c r="G464" s="66"/>
      <c r="H464" s="66"/>
      <c r="I464" s="66"/>
      <c r="J464" s="376"/>
      <c r="Q464" s="66"/>
      <c r="R464" s="66"/>
      <c r="V464" s="66"/>
      <c r="W464" s="66"/>
    </row>
    <row r="465" spans="6:23" ht="12.75" customHeight="1">
      <c r="F465" s="66"/>
      <c r="G465" s="66"/>
      <c r="H465" s="66"/>
      <c r="I465" s="66"/>
      <c r="J465" s="376"/>
      <c r="Q465" s="66"/>
      <c r="R465" s="66"/>
      <c r="V465" s="66"/>
      <c r="W465" s="66"/>
    </row>
    <row r="466" spans="6:23" ht="12.75" customHeight="1">
      <c r="F466" s="66"/>
      <c r="G466" s="66"/>
      <c r="H466" s="66"/>
      <c r="I466" s="66"/>
      <c r="J466" s="376"/>
      <c r="Q466" s="66"/>
      <c r="R466" s="66"/>
      <c r="V466" s="66"/>
      <c r="W466" s="66"/>
    </row>
    <row r="467" spans="6:23" ht="12.75" customHeight="1">
      <c r="F467" s="66"/>
      <c r="G467" s="66"/>
      <c r="H467" s="66"/>
      <c r="I467" s="66"/>
      <c r="J467" s="376"/>
      <c r="Q467" s="66"/>
      <c r="R467" s="66"/>
      <c r="V467" s="66"/>
      <c r="W467" s="66"/>
    </row>
    <row r="468" spans="6:23" ht="12.75" customHeight="1">
      <c r="F468" s="66"/>
      <c r="G468" s="66"/>
      <c r="H468" s="66"/>
      <c r="I468" s="66"/>
      <c r="J468" s="376"/>
      <c r="Q468" s="66"/>
      <c r="R468" s="66"/>
      <c r="V468" s="66"/>
      <c r="W468" s="66"/>
    </row>
    <row r="469" spans="6:23" ht="12.75" customHeight="1">
      <c r="F469" s="66"/>
      <c r="G469" s="66"/>
      <c r="H469" s="66"/>
      <c r="I469" s="66"/>
      <c r="J469" s="376"/>
      <c r="Q469" s="66"/>
      <c r="R469" s="66"/>
      <c r="V469" s="66"/>
      <c r="W469" s="66"/>
    </row>
    <row r="470" spans="6:23" ht="12.75" customHeight="1">
      <c r="F470" s="66"/>
      <c r="G470" s="66"/>
      <c r="H470" s="66"/>
      <c r="I470" s="66"/>
      <c r="J470" s="376"/>
      <c r="Q470" s="66"/>
      <c r="R470" s="66"/>
      <c r="V470" s="66"/>
      <c r="W470" s="66"/>
    </row>
    <row r="471" spans="6:23" ht="12.75" customHeight="1">
      <c r="F471" s="66"/>
      <c r="G471" s="66"/>
      <c r="H471" s="66"/>
      <c r="I471" s="66"/>
      <c r="J471" s="376"/>
      <c r="Q471" s="66"/>
      <c r="R471" s="66"/>
      <c r="V471" s="66"/>
      <c r="W471" s="66"/>
    </row>
    <row r="472" spans="6:23" ht="12.75" customHeight="1">
      <c r="F472" s="66"/>
      <c r="G472" s="66"/>
      <c r="H472" s="66"/>
      <c r="I472" s="66"/>
      <c r="J472" s="376"/>
      <c r="Q472" s="66"/>
      <c r="R472" s="66"/>
      <c r="V472" s="66"/>
      <c r="W472" s="66"/>
    </row>
    <row r="473" spans="6:23" ht="12.75" customHeight="1">
      <c r="F473" s="66"/>
      <c r="G473" s="66"/>
      <c r="H473" s="66"/>
      <c r="I473" s="66"/>
      <c r="J473" s="376"/>
      <c r="Q473" s="66"/>
      <c r="R473" s="66"/>
      <c r="V473" s="66"/>
      <c r="W473" s="66"/>
    </row>
    <row r="474" spans="6:23" ht="12.75" customHeight="1">
      <c r="F474" s="66"/>
      <c r="G474" s="66"/>
      <c r="H474" s="66"/>
      <c r="I474" s="66"/>
      <c r="J474" s="376"/>
      <c r="Q474" s="66"/>
      <c r="R474" s="66"/>
      <c r="V474" s="66"/>
      <c r="W474" s="66"/>
    </row>
    <row r="475" spans="6:23" ht="12.75" customHeight="1">
      <c r="F475" s="66"/>
      <c r="G475" s="66"/>
      <c r="H475" s="66"/>
      <c r="I475" s="66"/>
      <c r="J475" s="376"/>
      <c r="Q475" s="66"/>
      <c r="R475" s="66"/>
      <c r="V475" s="66"/>
      <c r="W475" s="66"/>
    </row>
    <row r="476" spans="6:23" ht="12.75" customHeight="1">
      <c r="F476" s="66"/>
      <c r="G476" s="66"/>
      <c r="H476" s="66"/>
      <c r="I476" s="66"/>
      <c r="J476" s="376"/>
      <c r="Q476" s="66"/>
      <c r="R476" s="66"/>
      <c r="V476" s="66"/>
      <c r="W476" s="66"/>
    </row>
    <row r="477" spans="6:23" ht="12.75" customHeight="1">
      <c r="F477" s="66"/>
      <c r="G477" s="66"/>
      <c r="H477" s="66"/>
      <c r="I477" s="66"/>
      <c r="J477" s="376"/>
      <c r="Q477" s="66"/>
      <c r="R477" s="66"/>
      <c r="V477" s="66"/>
      <c r="W477" s="66"/>
    </row>
    <row r="478" spans="6:23" ht="12.75" customHeight="1">
      <c r="F478" s="66"/>
      <c r="G478" s="66"/>
      <c r="H478" s="66"/>
      <c r="I478" s="66"/>
      <c r="J478" s="376"/>
      <c r="Q478" s="66"/>
      <c r="R478" s="66"/>
      <c r="V478" s="66"/>
      <c r="W478" s="66"/>
    </row>
    <row r="479" spans="6:23" ht="12.75" customHeight="1">
      <c r="F479" s="66"/>
      <c r="G479" s="66"/>
      <c r="H479" s="66"/>
      <c r="I479" s="66"/>
      <c r="J479" s="376"/>
      <c r="Q479" s="66"/>
      <c r="R479" s="66"/>
      <c r="V479" s="66"/>
      <c r="W479" s="66"/>
    </row>
    <row r="480" spans="6:23" ht="12.75" customHeight="1">
      <c r="F480" s="66"/>
      <c r="G480" s="66"/>
      <c r="H480" s="66"/>
      <c r="I480" s="66"/>
      <c r="J480" s="376"/>
      <c r="Q480" s="66"/>
      <c r="R480" s="66"/>
      <c r="V480" s="66"/>
      <c r="W480" s="66"/>
    </row>
    <row r="481" spans="6:23" ht="12.75" customHeight="1">
      <c r="F481" s="66"/>
      <c r="G481" s="66"/>
      <c r="H481" s="66"/>
      <c r="I481" s="66"/>
      <c r="J481" s="376"/>
      <c r="Q481" s="66"/>
      <c r="R481" s="66"/>
      <c r="V481" s="66"/>
      <c r="W481" s="66"/>
    </row>
    <row r="482" spans="6:23" ht="12.75" customHeight="1">
      <c r="F482" s="66"/>
      <c r="G482" s="66"/>
      <c r="H482" s="66"/>
      <c r="I482" s="66"/>
      <c r="J482" s="376"/>
      <c r="Q482" s="66"/>
      <c r="R482" s="66"/>
      <c r="V482" s="66"/>
      <c r="W482" s="66"/>
    </row>
    <row r="483" spans="6:23" ht="12.75" customHeight="1">
      <c r="F483" s="66"/>
      <c r="G483" s="66"/>
      <c r="H483" s="66"/>
      <c r="I483" s="66"/>
      <c r="J483" s="376"/>
      <c r="Q483" s="66"/>
      <c r="R483" s="66"/>
      <c r="V483" s="66"/>
      <c r="W483" s="66"/>
    </row>
    <row r="484" spans="6:23" ht="12.75" customHeight="1">
      <c r="F484" s="66"/>
      <c r="G484" s="66"/>
      <c r="H484" s="66"/>
      <c r="I484" s="66"/>
      <c r="J484" s="376"/>
      <c r="Q484" s="66"/>
      <c r="R484" s="66"/>
      <c r="V484" s="66"/>
      <c r="W484" s="66"/>
    </row>
    <row r="485" spans="6:23" ht="12.75" customHeight="1">
      <c r="F485" s="66"/>
      <c r="G485" s="66"/>
      <c r="H485" s="66"/>
      <c r="I485" s="66"/>
      <c r="J485" s="376"/>
      <c r="Q485" s="66"/>
      <c r="R485" s="66"/>
      <c r="V485" s="66"/>
      <c r="W485" s="66"/>
    </row>
    <row r="486" spans="6:23" ht="12.75" customHeight="1">
      <c r="F486" s="66"/>
      <c r="G486" s="66"/>
      <c r="H486" s="66"/>
      <c r="I486" s="66"/>
      <c r="J486" s="376"/>
      <c r="Q486" s="66"/>
      <c r="R486" s="66"/>
      <c r="V486" s="66"/>
      <c r="W486" s="66"/>
    </row>
    <row r="487" spans="6:23" ht="12.75" customHeight="1">
      <c r="F487" s="66"/>
      <c r="G487" s="66"/>
      <c r="H487" s="66"/>
      <c r="I487" s="66"/>
      <c r="J487" s="376"/>
      <c r="Q487" s="66"/>
      <c r="R487" s="66"/>
      <c r="V487" s="66"/>
      <c r="W487" s="66"/>
    </row>
    <row r="488" spans="6:23" ht="12.75" customHeight="1">
      <c r="F488" s="66"/>
      <c r="G488" s="66"/>
      <c r="H488" s="66"/>
      <c r="I488" s="66"/>
      <c r="J488" s="376"/>
      <c r="Q488" s="66"/>
      <c r="R488" s="66"/>
      <c r="V488" s="66"/>
      <c r="W488" s="66"/>
    </row>
    <row r="489" spans="6:23" ht="12.75" customHeight="1">
      <c r="F489" s="66"/>
      <c r="G489" s="66"/>
      <c r="H489" s="66"/>
      <c r="I489" s="66"/>
      <c r="J489" s="376"/>
      <c r="Q489" s="66"/>
      <c r="R489" s="66"/>
      <c r="V489" s="66"/>
      <c r="W489" s="66"/>
    </row>
    <row r="490" spans="6:23" ht="12.75" customHeight="1">
      <c r="F490" s="66"/>
      <c r="G490" s="66"/>
      <c r="H490" s="66"/>
      <c r="I490" s="66"/>
      <c r="J490" s="376"/>
      <c r="Q490" s="66"/>
      <c r="R490" s="66"/>
      <c r="V490" s="66"/>
      <c r="W490" s="66"/>
    </row>
    <row r="491" spans="6:23" ht="12.75" customHeight="1">
      <c r="F491" s="66"/>
      <c r="G491" s="66"/>
      <c r="H491" s="66"/>
      <c r="I491" s="66"/>
      <c r="J491" s="376"/>
      <c r="Q491" s="66"/>
      <c r="R491" s="66"/>
      <c r="V491" s="66"/>
      <c r="W491" s="66"/>
    </row>
    <row r="492" spans="6:23" ht="12.75" customHeight="1">
      <c r="F492" s="66"/>
      <c r="G492" s="66"/>
      <c r="H492" s="66"/>
      <c r="I492" s="66"/>
      <c r="J492" s="376"/>
      <c r="Q492" s="66"/>
      <c r="R492" s="66"/>
      <c r="V492" s="66"/>
      <c r="W492" s="66"/>
    </row>
    <row r="493" spans="6:23" ht="12.75" customHeight="1">
      <c r="F493" s="66"/>
      <c r="G493" s="66"/>
      <c r="H493" s="66"/>
      <c r="I493" s="66"/>
      <c r="J493" s="376"/>
      <c r="Q493" s="66"/>
      <c r="R493" s="66"/>
      <c r="V493" s="66"/>
      <c r="W493" s="66"/>
    </row>
    <row r="494" spans="6:23" ht="12.75" customHeight="1">
      <c r="F494" s="66"/>
      <c r="G494" s="66"/>
      <c r="H494" s="66"/>
      <c r="I494" s="66"/>
      <c r="J494" s="376"/>
      <c r="Q494" s="66"/>
      <c r="R494" s="66"/>
      <c r="V494" s="66"/>
      <c r="W494" s="66"/>
    </row>
    <row r="495" spans="6:23" ht="12.75" customHeight="1">
      <c r="F495" s="66"/>
      <c r="G495" s="66"/>
      <c r="H495" s="66"/>
      <c r="I495" s="66"/>
      <c r="J495" s="376"/>
      <c r="Q495" s="66"/>
      <c r="R495" s="66"/>
      <c r="V495" s="66"/>
      <c r="W495" s="66"/>
    </row>
    <row r="496" spans="6:23" ht="12.75" customHeight="1">
      <c r="F496" s="66"/>
      <c r="G496" s="66"/>
      <c r="H496" s="66"/>
      <c r="I496" s="66"/>
      <c r="J496" s="376"/>
      <c r="Q496" s="66"/>
      <c r="R496" s="66"/>
      <c r="V496" s="66"/>
      <c r="W496" s="66"/>
    </row>
    <row r="497" spans="6:23" ht="12.75" customHeight="1">
      <c r="F497" s="66"/>
      <c r="G497" s="66"/>
      <c r="H497" s="66"/>
      <c r="I497" s="66"/>
      <c r="J497" s="376"/>
      <c r="Q497" s="66"/>
      <c r="R497" s="66"/>
      <c r="V497" s="66"/>
      <c r="W497" s="66"/>
    </row>
    <row r="498" spans="6:23" ht="12.75" customHeight="1">
      <c r="F498" s="66"/>
      <c r="G498" s="66"/>
      <c r="H498" s="66"/>
      <c r="I498" s="66"/>
      <c r="J498" s="376"/>
      <c r="Q498" s="66"/>
      <c r="R498" s="66"/>
      <c r="V498" s="66"/>
      <c r="W498" s="66"/>
    </row>
    <row r="499" spans="6:23" ht="12.75" customHeight="1">
      <c r="F499" s="66"/>
      <c r="G499" s="66"/>
      <c r="H499" s="66"/>
      <c r="I499" s="66"/>
      <c r="J499" s="376"/>
      <c r="Q499" s="66"/>
      <c r="R499" s="66"/>
      <c r="V499" s="66"/>
      <c r="W499" s="66"/>
    </row>
    <row r="500" spans="6:23" ht="12.75" customHeight="1">
      <c r="F500" s="66"/>
      <c r="G500" s="66"/>
      <c r="H500" s="66"/>
      <c r="I500" s="66"/>
      <c r="J500" s="376"/>
      <c r="Q500" s="66"/>
      <c r="R500" s="66"/>
      <c r="V500" s="66"/>
      <c r="W500" s="66"/>
    </row>
    <row r="501" spans="6:23" ht="12.75" customHeight="1">
      <c r="F501" s="66"/>
      <c r="G501" s="66"/>
      <c r="H501" s="66"/>
      <c r="I501" s="66"/>
      <c r="J501" s="376"/>
      <c r="Q501" s="66"/>
      <c r="R501" s="66"/>
      <c r="V501" s="66"/>
      <c r="W501" s="66"/>
    </row>
    <row r="502" spans="6:23" ht="12.75" customHeight="1">
      <c r="F502" s="66"/>
      <c r="G502" s="66"/>
      <c r="H502" s="66"/>
      <c r="I502" s="66"/>
      <c r="J502" s="376"/>
      <c r="Q502" s="66"/>
      <c r="R502" s="66"/>
      <c r="V502" s="66"/>
      <c r="W502" s="66"/>
    </row>
    <row r="503" spans="6:23" ht="12.75" customHeight="1">
      <c r="F503" s="66"/>
      <c r="G503" s="66"/>
      <c r="H503" s="66"/>
      <c r="I503" s="66"/>
      <c r="J503" s="376"/>
      <c r="Q503" s="66"/>
      <c r="R503" s="66"/>
      <c r="V503" s="66"/>
      <c r="W503" s="66"/>
    </row>
    <row r="504" spans="6:23" ht="12.75" customHeight="1">
      <c r="F504" s="66"/>
      <c r="G504" s="66"/>
      <c r="H504" s="66"/>
      <c r="I504" s="66"/>
      <c r="J504" s="376"/>
      <c r="Q504" s="66"/>
      <c r="R504" s="66"/>
      <c r="V504" s="66"/>
      <c r="W504" s="66"/>
    </row>
    <row r="505" spans="6:23" ht="12.75" customHeight="1">
      <c r="F505" s="66"/>
      <c r="G505" s="66"/>
      <c r="H505" s="66"/>
      <c r="I505" s="66"/>
      <c r="J505" s="376"/>
      <c r="Q505" s="66"/>
      <c r="R505" s="66"/>
      <c r="V505" s="66"/>
      <c r="W505" s="66"/>
    </row>
    <row r="506" spans="6:23" ht="12.75" customHeight="1">
      <c r="F506" s="66"/>
      <c r="G506" s="66"/>
      <c r="H506" s="66"/>
      <c r="I506" s="66"/>
      <c r="J506" s="376"/>
      <c r="Q506" s="66"/>
      <c r="R506" s="66"/>
      <c r="V506" s="66"/>
      <c r="W506" s="66"/>
    </row>
    <row r="507" spans="6:23" ht="12.75" customHeight="1">
      <c r="F507" s="66"/>
      <c r="G507" s="66"/>
      <c r="H507" s="66"/>
      <c r="I507" s="66"/>
      <c r="J507" s="376"/>
      <c r="Q507" s="66"/>
      <c r="R507" s="66"/>
      <c r="V507" s="66"/>
      <c r="W507" s="66"/>
    </row>
    <row r="508" spans="6:23" ht="12.75" customHeight="1">
      <c r="F508" s="66"/>
      <c r="G508" s="66"/>
      <c r="H508" s="66"/>
      <c r="I508" s="66"/>
      <c r="J508" s="376"/>
      <c r="Q508" s="66"/>
      <c r="R508" s="66"/>
      <c r="V508" s="66"/>
      <c r="W508" s="66"/>
    </row>
    <row r="509" spans="6:23" ht="12.75" customHeight="1">
      <c r="F509" s="66"/>
      <c r="G509" s="66"/>
      <c r="H509" s="66"/>
      <c r="I509" s="66"/>
      <c r="J509" s="376"/>
      <c r="Q509" s="66"/>
      <c r="R509" s="66"/>
      <c r="V509" s="66"/>
      <c r="W509" s="66"/>
    </row>
    <row r="510" spans="6:23" ht="12.75" customHeight="1">
      <c r="F510" s="66"/>
      <c r="G510" s="66"/>
      <c r="H510" s="66"/>
      <c r="I510" s="66"/>
      <c r="J510" s="376"/>
      <c r="Q510" s="66"/>
      <c r="R510" s="66"/>
      <c r="V510" s="66"/>
      <c r="W510" s="66"/>
    </row>
    <row r="511" spans="6:23" ht="12.75" customHeight="1">
      <c r="F511" s="66"/>
      <c r="G511" s="66"/>
      <c r="H511" s="66"/>
      <c r="I511" s="66"/>
      <c r="J511" s="376"/>
      <c r="Q511" s="66"/>
      <c r="R511" s="66"/>
      <c r="V511" s="66"/>
      <c r="W511" s="66"/>
    </row>
    <row r="512" spans="6:23" ht="12.75" customHeight="1">
      <c r="F512" s="66"/>
      <c r="G512" s="66"/>
      <c r="H512" s="66"/>
      <c r="I512" s="66"/>
      <c r="J512" s="376"/>
      <c r="Q512" s="66"/>
      <c r="R512" s="66"/>
      <c r="V512" s="66"/>
      <c r="W512" s="66"/>
    </row>
    <row r="513" spans="6:23" ht="12.75" customHeight="1">
      <c r="F513" s="66"/>
      <c r="G513" s="66"/>
      <c r="H513" s="66"/>
      <c r="I513" s="66"/>
      <c r="J513" s="376"/>
      <c r="Q513" s="66"/>
      <c r="R513" s="66"/>
      <c r="V513" s="66"/>
      <c r="W513" s="66"/>
    </row>
    <row r="514" spans="6:23" ht="12.75" customHeight="1">
      <c r="F514" s="66"/>
      <c r="G514" s="66"/>
      <c r="H514" s="66"/>
      <c r="I514" s="66"/>
      <c r="J514" s="376"/>
      <c r="Q514" s="66"/>
      <c r="R514" s="66"/>
      <c r="V514" s="66"/>
      <c r="W514" s="66"/>
    </row>
    <row r="515" spans="6:23" ht="12.75" customHeight="1">
      <c r="F515" s="66"/>
      <c r="G515" s="66"/>
      <c r="H515" s="66"/>
      <c r="I515" s="66"/>
      <c r="J515" s="376"/>
      <c r="Q515" s="66"/>
      <c r="R515" s="66"/>
      <c r="V515" s="66"/>
      <c r="W515" s="66"/>
    </row>
    <row r="516" spans="6:23" ht="12.75" customHeight="1">
      <c r="F516" s="66"/>
      <c r="G516" s="66"/>
      <c r="H516" s="66"/>
      <c r="I516" s="66"/>
      <c r="J516" s="376"/>
      <c r="Q516" s="66"/>
      <c r="R516" s="66"/>
      <c r="V516" s="66"/>
      <c r="W516" s="66"/>
    </row>
    <row r="517" spans="6:23" ht="12.75" customHeight="1">
      <c r="F517" s="66"/>
      <c r="G517" s="66"/>
      <c r="H517" s="66"/>
      <c r="I517" s="66"/>
      <c r="J517" s="376"/>
      <c r="Q517" s="66"/>
      <c r="R517" s="66"/>
      <c r="V517" s="66"/>
      <c r="W517" s="66"/>
    </row>
    <row r="518" spans="6:23" ht="12.75" customHeight="1">
      <c r="F518" s="66"/>
      <c r="G518" s="66"/>
      <c r="H518" s="66"/>
      <c r="I518" s="66"/>
      <c r="J518" s="376"/>
      <c r="Q518" s="66"/>
      <c r="R518" s="66"/>
      <c r="V518" s="66"/>
      <c r="W518" s="66"/>
    </row>
    <row r="519" spans="6:23" ht="12.75" customHeight="1">
      <c r="F519" s="66"/>
      <c r="G519" s="66"/>
      <c r="H519" s="66"/>
      <c r="I519" s="66"/>
      <c r="J519" s="376"/>
      <c r="Q519" s="66"/>
      <c r="R519" s="66"/>
      <c r="V519" s="66"/>
      <c r="W519" s="66"/>
    </row>
    <row r="520" spans="6:23" ht="12.75" customHeight="1">
      <c r="F520" s="66"/>
      <c r="G520" s="66"/>
      <c r="H520" s="66"/>
      <c r="I520" s="66"/>
      <c r="J520" s="376"/>
      <c r="Q520" s="66"/>
      <c r="R520" s="66"/>
      <c r="V520" s="66"/>
      <c r="W520" s="66"/>
    </row>
    <row r="521" spans="6:23" ht="12.75" customHeight="1">
      <c r="F521" s="66"/>
      <c r="G521" s="66"/>
      <c r="H521" s="66"/>
      <c r="I521" s="66"/>
      <c r="J521" s="376"/>
      <c r="Q521" s="66"/>
      <c r="R521" s="66"/>
      <c r="V521" s="66"/>
      <c r="W521" s="66"/>
    </row>
    <row r="522" spans="6:23" ht="12.75" customHeight="1">
      <c r="F522" s="66"/>
      <c r="G522" s="66"/>
      <c r="H522" s="66"/>
      <c r="I522" s="66"/>
      <c r="J522" s="376"/>
      <c r="Q522" s="66"/>
      <c r="R522" s="66"/>
      <c r="V522" s="66"/>
      <c r="W522" s="66"/>
    </row>
    <row r="523" spans="6:23" ht="12.75" customHeight="1">
      <c r="F523" s="66"/>
      <c r="G523" s="66"/>
      <c r="H523" s="66"/>
      <c r="I523" s="66"/>
      <c r="J523" s="376"/>
      <c r="Q523" s="66"/>
      <c r="R523" s="66"/>
      <c r="V523" s="66"/>
      <c r="W523" s="66"/>
    </row>
    <row r="524" spans="6:23" ht="12.75" customHeight="1">
      <c r="F524" s="66"/>
      <c r="G524" s="66"/>
      <c r="H524" s="66"/>
      <c r="I524" s="66"/>
      <c r="J524" s="376"/>
      <c r="Q524" s="66"/>
      <c r="R524" s="66"/>
      <c r="V524" s="66"/>
      <c r="W524" s="66"/>
    </row>
    <row r="525" spans="6:23" ht="12.75" customHeight="1">
      <c r="F525" s="66"/>
      <c r="G525" s="66"/>
      <c r="H525" s="66"/>
      <c r="I525" s="66"/>
      <c r="J525" s="376"/>
      <c r="Q525" s="66"/>
      <c r="R525" s="66"/>
      <c r="V525" s="66"/>
      <c r="W525" s="66"/>
    </row>
    <row r="526" spans="6:23" ht="12.75" customHeight="1">
      <c r="F526" s="66"/>
      <c r="G526" s="66"/>
      <c r="H526" s="66"/>
      <c r="I526" s="66"/>
      <c r="J526" s="376"/>
      <c r="Q526" s="66"/>
      <c r="R526" s="66"/>
      <c r="V526" s="66"/>
      <c r="W526" s="66"/>
    </row>
    <row r="527" spans="6:23" ht="12.75" customHeight="1">
      <c r="F527" s="66"/>
      <c r="G527" s="66"/>
      <c r="H527" s="66"/>
      <c r="I527" s="66"/>
      <c r="J527" s="376"/>
      <c r="Q527" s="66"/>
      <c r="R527" s="66"/>
      <c r="V527" s="66"/>
      <c r="W527" s="66"/>
    </row>
    <row r="528" spans="6:23" ht="12.75" customHeight="1">
      <c r="F528" s="66"/>
      <c r="G528" s="66"/>
      <c r="H528" s="66"/>
      <c r="I528" s="66"/>
      <c r="J528" s="376"/>
      <c r="Q528" s="66"/>
      <c r="R528" s="66"/>
      <c r="V528" s="66"/>
      <c r="W528" s="66"/>
    </row>
    <row r="529" spans="6:23" ht="12.75" customHeight="1">
      <c r="F529" s="66"/>
      <c r="G529" s="66"/>
      <c r="H529" s="66"/>
      <c r="I529" s="66"/>
      <c r="J529" s="376"/>
      <c r="Q529" s="66"/>
      <c r="R529" s="66"/>
      <c r="V529" s="66"/>
      <c r="W529" s="66"/>
    </row>
    <row r="530" spans="6:23" ht="12.75" customHeight="1">
      <c r="F530" s="66"/>
      <c r="G530" s="66"/>
      <c r="H530" s="66"/>
      <c r="I530" s="66"/>
      <c r="J530" s="376"/>
      <c r="Q530" s="66"/>
      <c r="R530" s="66"/>
      <c r="V530" s="66"/>
      <c r="W530" s="66"/>
    </row>
    <row r="531" spans="6:23" ht="12.75" customHeight="1">
      <c r="F531" s="66"/>
      <c r="G531" s="66"/>
      <c r="H531" s="66"/>
      <c r="I531" s="66"/>
      <c r="J531" s="376"/>
      <c r="Q531" s="66"/>
      <c r="R531" s="66"/>
      <c r="V531" s="66"/>
      <c r="W531" s="66"/>
    </row>
    <row r="532" spans="6:23" ht="12.75" customHeight="1">
      <c r="F532" s="66"/>
      <c r="G532" s="66"/>
      <c r="H532" s="66"/>
      <c r="I532" s="66"/>
      <c r="J532" s="376"/>
      <c r="Q532" s="66"/>
      <c r="R532" s="66"/>
      <c r="V532" s="66"/>
      <c r="W532" s="66"/>
    </row>
    <row r="533" spans="6:23" ht="12.75" customHeight="1">
      <c r="F533" s="66"/>
      <c r="G533" s="66"/>
      <c r="H533" s="66"/>
      <c r="I533" s="66"/>
      <c r="J533" s="376"/>
      <c r="Q533" s="66"/>
      <c r="R533" s="66"/>
      <c r="V533" s="66"/>
      <c r="W533" s="66"/>
    </row>
    <row r="534" spans="6:23" ht="12.75" customHeight="1">
      <c r="F534" s="66"/>
      <c r="G534" s="66"/>
      <c r="H534" s="66"/>
      <c r="I534" s="66"/>
      <c r="J534" s="376"/>
      <c r="Q534" s="66"/>
      <c r="R534" s="66"/>
      <c r="V534" s="66"/>
      <c r="W534" s="66"/>
    </row>
    <row r="535" spans="6:23" ht="12.75" customHeight="1">
      <c r="F535" s="66"/>
      <c r="G535" s="66"/>
      <c r="H535" s="66"/>
      <c r="I535" s="66"/>
      <c r="J535" s="376"/>
      <c r="Q535" s="66"/>
      <c r="R535" s="66"/>
      <c r="V535" s="66"/>
      <c r="W535" s="66"/>
    </row>
    <row r="536" spans="6:23" ht="12.75" customHeight="1">
      <c r="F536" s="66"/>
      <c r="G536" s="66"/>
      <c r="H536" s="66"/>
      <c r="I536" s="66"/>
      <c r="J536" s="376"/>
      <c r="Q536" s="66"/>
      <c r="R536" s="66"/>
      <c r="V536" s="66"/>
      <c r="W536" s="66"/>
    </row>
    <row r="537" spans="6:23" ht="12.75" customHeight="1">
      <c r="F537" s="66"/>
      <c r="G537" s="66"/>
      <c r="H537" s="66"/>
      <c r="I537" s="66"/>
      <c r="J537" s="376"/>
      <c r="Q537" s="66"/>
      <c r="R537" s="66"/>
      <c r="V537" s="66"/>
      <c r="W537" s="66"/>
    </row>
    <row r="538" spans="6:23" ht="12.75" customHeight="1">
      <c r="F538" s="66"/>
      <c r="G538" s="66"/>
      <c r="H538" s="66"/>
      <c r="I538" s="66"/>
      <c r="J538" s="376"/>
      <c r="Q538" s="66"/>
      <c r="R538" s="66"/>
      <c r="V538" s="66"/>
      <c r="W538" s="66"/>
    </row>
    <row r="539" spans="6:23" ht="12.75" customHeight="1">
      <c r="F539" s="66"/>
      <c r="G539" s="66"/>
      <c r="H539" s="66"/>
      <c r="I539" s="66"/>
      <c r="J539" s="376"/>
      <c r="Q539" s="66"/>
      <c r="R539" s="66"/>
      <c r="V539" s="66"/>
      <c r="W539" s="66"/>
    </row>
    <row r="540" spans="6:23" ht="12.75" customHeight="1">
      <c r="F540" s="66"/>
      <c r="G540" s="66"/>
      <c r="H540" s="66"/>
      <c r="I540" s="66"/>
      <c r="J540" s="376"/>
      <c r="Q540" s="66"/>
      <c r="R540" s="66"/>
      <c r="V540" s="66"/>
      <c r="W540" s="66"/>
    </row>
    <row r="541" spans="6:23" ht="12.75" customHeight="1">
      <c r="F541" s="66"/>
      <c r="G541" s="66"/>
      <c r="H541" s="66"/>
      <c r="I541" s="66"/>
      <c r="J541" s="376"/>
      <c r="Q541" s="66"/>
      <c r="R541" s="66"/>
      <c r="V541" s="66"/>
      <c r="W541" s="66"/>
    </row>
    <row r="542" spans="6:23" ht="12.75" customHeight="1">
      <c r="F542" s="66"/>
      <c r="G542" s="66"/>
      <c r="H542" s="66"/>
      <c r="I542" s="66"/>
      <c r="J542" s="376"/>
      <c r="Q542" s="66"/>
      <c r="R542" s="66"/>
      <c r="V542" s="66"/>
      <c r="W542" s="66"/>
    </row>
    <row r="543" spans="6:23" ht="12.75" customHeight="1">
      <c r="F543" s="66"/>
      <c r="G543" s="66"/>
      <c r="H543" s="66"/>
      <c r="I543" s="66"/>
      <c r="J543" s="376"/>
      <c r="Q543" s="66"/>
      <c r="R543" s="66"/>
      <c r="V543" s="66"/>
      <c r="W543" s="66"/>
    </row>
    <row r="544" spans="6:23" ht="12.75" customHeight="1">
      <c r="F544" s="66"/>
      <c r="G544" s="66"/>
      <c r="H544" s="66"/>
      <c r="I544" s="66"/>
      <c r="J544" s="376"/>
      <c r="Q544" s="66"/>
      <c r="R544" s="66"/>
      <c r="V544" s="66"/>
      <c r="W544" s="66"/>
    </row>
    <row r="545" spans="6:23" ht="12.75" customHeight="1">
      <c r="F545" s="66"/>
      <c r="G545" s="66"/>
      <c r="H545" s="66"/>
      <c r="I545" s="66"/>
      <c r="J545" s="376"/>
      <c r="Q545" s="66"/>
      <c r="R545" s="66"/>
      <c r="V545" s="66"/>
      <c r="W545" s="66"/>
    </row>
    <row r="546" spans="6:23" ht="12.75" customHeight="1">
      <c r="F546" s="66"/>
      <c r="G546" s="66"/>
      <c r="H546" s="66"/>
      <c r="I546" s="66"/>
      <c r="J546" s="376"/>
      <c r="Q546" s="66"/>
      <c r="R546" s="66"/>
      <c r="V546" s="66"/>
      <c r="W546" s="66"/>
    </row>
    <row r="547" spans="6:23" ht="12.75" customHeight="1">
      <c r="F547" s="66"/>
      <c r="G547" s="66"/>
      <c r="H547" s="66"/>
      <c r="I547" s="66"/>
      <c r="J547" s="376"/>
      <c r="Q547" s="66"/>
      <c r="R547" s="66"/>
      <c r="V547" s="66"/>
      <c r="W547" s="66"/>
    </row>
    <row r="548" spans="6:23" ht="12.75" customHeight="1">
      <c r="F548" s="66"/>
      <c r="G548" s="66"/>
      <c r="H548" s="66"/>
      <c r="I548" s="66"/>
      <c r="J548" s="376"/>
      <c r="Q548" s="66"/>
      <c r="R548" s="66"/>
      <c r="V548" s="66"/>
      <c r="W548" s="66"/>
    </row>
    <row r="549" spans="6:23" ht="12.75" customHeight="1">
      <c r="F549" s="66"/>
      <c r="G549" s="66"/>
      <c r="H549" s="66"/>
      <c r="I549" s="66"/>
      <c r="J549" s="376"/>
      <c r="Q549" s="66"/>
      <c r="R549" s="66"/>
      <c r="V549" s="66"/>
      <c r="W549" s="66"/>
    </row>
    <row r="550" spans="6:23" ht="12.75" customHeight="1">
      <c r="F550" s="66"/>
      <c r="G550" s="66"/>
      <c r="H550" s="66"/>
      <c r="I550" s="66"/>
      <c r="J550" s="376"/>
      <c r="Q550" s="66"/>
      <c r="R550" s="66"/>
      <c r="V550" s="66"/>
      <c r="W550" s="66"/>
    </row>
    <row r="551" spans="6:23" ht="12.75" customHeight="1">
      <c r="F551" s="66"/>
      <c r="G551" s="66"/>
      <c r="H551" s="66"/>
      <c r="I551" s="66"/>
      <c r="J551" s="376"/>
      <c r="Q551" s="66"/>
      <c r="R551" s="66"/>
      <c r="V551" s="66"/>
      <c r="W551" s="66"/>
    </row>
    <row r="552" spans="6:23" ht="12.75" customHeight="1">
      <c r="F552" s="66"/>
      <c r="G552" s="66"/>
      <c r="H552" s="66"/>
      <c r="I552" s="66"/>
      <c r="J552" s="376"/>
      <c r="Q552" s="66"/>
      <c r="R552" s="66"/>
      <c r="V552" s="66"/>
      <c r="W552" s="66"/>
    </row>
    <row r="553" spans="6:23" ht="12.75" customHeight="1">
      <c r="F553" s="66"/>
      <c r="G553" s="66"/>
      <c r="H553" s="66"/>
      <c r="I553" s="66"/>
      <c r="J553" s="376"/>
      <c r="Q553" s="66"/>
      <c r="R553" s="66"/>
      <c r="V553" s="66"/>
      <c r="W553" s="66"/>
    </row>
    <row r="554" spans="6:23" ht="12.75" customHeight="1">
      <c r="F554" s="66"/>
      <c r="G554" s="66"/>
      <c r="H554" s="66"/>
      <c r="I554" s="66"/>
      <c r="J554" s="376"/>
      <c r="Q554" s="66"/>
      <c r="R554" s="66"/>
      <c r="V554" s="66"/>
      <c r="W554" s="66"/>
    </row>
    <row r="555" spans="6:23" ht="12.75" customHeight="1">
      <c r="F555" s="66"/>
      <c r="G555" s="66"/>
      <c r="H555" s="66"/>
      <c r="I555" s="66"/>
      <c r="J555" s="376"/>
      <c r="Q555" s="66"/>
      <c r="R555" s="66"/>
      <c r="V555" s="66"/>
      <c r="W555" s="66"/>
    </row>
    <row r="556" spans="6:23" ht="12.75" customHeight="1">
      <c r="F556" s="66"/>
      <c r="G556" s="66"/>
      <c r="H556" s="66"/>
      <c r="I556" s="66"/>
      <c r="J556" s="376"/>
      <c r="Q556" s="66"/>
      <c r="R556" s="66"/>
      <c r="V556" s="66"/>
      <c r="W556" s="66"/>
    </row>
    <row r="557" spans="6:23" ht="12.75" customHeight="1">
      <c r="F557" s="66"/>
      <c r="G557" s="66"/>
      <c r="H557" s="66"/>
      <c r="I557" s="66"/>
      <c r="J557" s="376"/>
      <c r="Q557" s="66"/>
      <c r="R557" s="66"/>
      <c r="V557" s="66"/>
      <c r="W557" s="66"/>
    </row>
    <row r="558" spans="6:23" ht="12.75" customHeight="1">
      <c r="F558" s="66"/>
      <c r="G558" s="66"/>
      <c r="H558" s="66"/>
      <c r="I558" s="66"/>
      <c r="J558" s="376"/>
      <c r="Q558" s="66"/>
      <c r="R558" s="66"/>
      <c r="V558" s="66"/>
      <c r="W558" s="66"/>
    </row>
    <row r="559" spans="6:23" ht="12.75" customHeight="1">
      <c r="F559" s="66"/>
      <c r="G559" s="66"/>
      <c r="H559" s="66"/>
      <c r="I559" s="66"/>
      <c r="J559" s="376"/>
      <c r="Q559" s="66"/>
      <c r="R559" s="66"/>
      <c r="V559" s="66"/>
      <c r="W559" s="66"/>
    </row>
    <row r="560" spans="6:23" ht="12.75" customHeight="1">
      <c r="F560" s="66"/>
      <c r="G560" s="66"/>
      <c r="H560" s="66"/>
      <c r="I560" s="66"/>
      <c r="J560" s="376"/>
      <c r="Q560" s="66"/>
      <c r="R560" s="66"/>
      <c r="V560" s="66"/>
      <c r="W560" s="66"/>
    </row>
    <row r="561" spans="6:23" ht="12.75" customHeight="1">
      <c r="F561" s="66"/>
      <c r="G561" s="66"/>
      <c r="H561" s="66"/>
      <c r="I561" s="66"/>
      <c r="J561" s="376"/>
      <c r="Q561" s="66"/>
      <c r="R561" s="66"/>
      <c r="V561" s="66"/>
      <c r="W561" s="66"/>
    </row>
    <row r="562" spans="6:23" ht="12.75" customHeight="1">
      <c r="F562" s="66"/>
      <c r="G562" s="66"/>
      <c r="H562" s="66"/>
      <c r="I562" s="66"/>
      <c r="J562" s="376"/>
      <c r="Q562" s="66"/>
      <c r="R562" s="66"/>
      <c r="V562" s="66"/>
      <c r="W562" s="66"/>
    </row>
    <row r="563" spans="6:23" ht="12.75" customHeight="1">
      <c r="F563" s="66"/>
      <c r="G563" s="66"/>
      <c r="H563" s="66"/>
      <c r="I563" s="66"/>
      <c r="J563" s="376"/>
      <c r="Q563" s="66"/>
      <c r="R563" s="66"/>
      <c r="V563" s="66"/>
      <c r="W563" s="66"/>
    </row>
    <row r="564" spans="6:23" ht="12.75" customHeight="1">
      <c r="F564" s="66"/>
      <c r="G564" s="66"/>
      <c r="H564" s="66"/>
      <c r="I564" s="66"/>
      <c r="J564" s="376"/>
      <c r="Q564" s="66"/>
      <c r="R564" s="66"/>
      <c r="V564" s="66"/>
      <c r="W564" s="66"/>
    </row>
    <row r="565" spans="6:23" ht="12.75" customHeight="1">
      <c r="F565" s="66"/>
      <c r="G565" s="66"/>
      <c r="H565" s="66"/>
      <c r="I565" s="66"/>
      <c r="J565" s="376"/>
      <c r="Q565" s="66"/>
      <c r="R565" s="66"/>
      <c r="V565" s="66"/>
      <c r="W565" s="66"/>
    </row>
    <row r="566" spans="6:23" ht="12.75" customHeight="1">
      <c r="F566" s="66"/>
      <c r="G566" s="66"/>
      <c r="H566" s="66"/>
      <c r="I566" s="66"/>
      <c r="J566" s="376"/>
      <c r="Q566" s="66"/>
      <c r="R566" s="66"/>
      <c r="V566" s="66"/>
      <c r="W566" s="66"/>
    </row>
    <row r="567" spans="6:23" ht="12.75" customHeight="1">
      <c r="F567" s="66"/>
      <c r="G567" s="66"/>
      <c r="H567" s="66"/>
      <c r="I567" s="66"/>
      <c r="J567" s="376"/>
      <c r="Q567" s="66"/>
      <c r="R567" s="66"/>
      <c r="V567" s="66"/>
      <c r="W567" s="66"/>
    </row>
    <row r="568" spans="6:23" ht="12.75" customHeight="1">
      <c r="F568" s="66"/>
      <c r="G568" s="66"/>
      <c r="H568" s="66"/>
      <c r="I568" s="66"/>
      <c r="J568" s="376"/>
      <c r="Q568" s="66"/>
      <c r="R568" s="66"/>
      <c r="V568" s="66"/>
      <c r="W568" s="66"/>
    </row>
    <row r="569" spans="6:23" ht="12.75" customHeight="1">
      <c r="F569" s="66"/>
      <c r="G569" s="66"/>
      <c r="H569" s="66"/>
      <c r="I569" s="66"/>
      <c r="J569" s="376"/>
      <c r="Q569" s="66"/>
      <c r="R569" s="66"/>
      <c r="V569" s="66"/>
      <c r="W569" s="66"/>
    </row>
    <row r="570" spans="6:23" ht="12.75" customHeight="1">
      <c r="F570" s="66"/>
      <c r="G570" s="66"/>
      <c r="H570" s="66"/>
      <c r="I570" s="66"/>
      <c r="J570" s="376"/>
      <c r="Q570" s="66"/>
      <c r="R570" s="66"/>
      <c r="V570" s="66"/>
      <c r="W570" s="66"/>
    </row>
    <row r="571" spans="6:23" ht="12.75" customHeight="1">
      <c r="F571" s="66"/>
      <c r="G571" s="66"/>
      <c r="H571" s="66"/>
      <c r="I571" s="66"/>
      <c r="J571" s="376"/>
      <c r="Q571" s="66"/>
      <c r="R571" s="66"/>
      <c r="V571" s="66"/>
      <c r="W571" s="66"/>
    </row>
    <row r="572" spans="6:23" ht="12.75" customHeight="1">
      <c r="F572" s="66"/>
      <c r="G572" s="66"/>
      <c r="H572" s="66"/>
      <c r="I572" s="66"/>
      <c r="J572" s="376"/>
      <c r="Q572" s="66"/>
      <c r="R572" s="66"/>
      <c r="V572" s="66"/>
      <c r="W572" s="66"/>
    </row>
    <row r="573" spans="6:23" ht="12.75" customHeight="1">
      <c r="F573" s="66"/>
      <c r="G573" s="66"/>
      <c r="H573" s="66"/>
      <c r="I573" s="66"/>
      <c r="J573" s="376"/>
      <c r="Q573" s="66"/>
      <c r="R573" s="66"/>
      <c r="V573" s="66"/>
      <c r="W573" s="66"/>
    </row>
    <row r="574" spans="6:23" ht="12.75" customHeight="1">
      <c r="F574" s="66"/>
      <c r="G574" s="66"/>
      <c r="H574" s="66"/>
      <c r="I574" s="66"/>
      <c r="J574" s="376"/>
      <c r="Q574" s="66"/>
      <c r="R574" s="66"/>
      <c r="V574" s="66"/>
      <c r="W574" s="66"/>
    </row>
    <row r="575" spans="6:23" ht="12.75" customHeight="1">
      <c r="F575" s="66"/>
      <c r="G575" s="66"/>
      <c r="H575" s="66"/>
      <c r="I575" s="66"/>
      <c r="J575" s="376"/>
      <c r="Q575" s="66"/>
      <c r="R575" s="66"/>
      <c r="V575" s="66"/>
      <c r="W575" s="66"/>
    </row>
    <row r="576" spans="6:23" ht="12.75" customHeight="1">
      <c r="F576" s="66"/>
      <c r="G576" s="66"/>
      <c r="H576" s="66"/>
      <c r="I576" s="66"/>
      <c r="J576" s="376"/>
      <c r="Q576" s="66"/>
      <c r="R576" s="66"/>
      <c r="V576" s="66"/>
      <c r="W576" s="66"/>
    </row>
    <row r="577" spans="6:23" ht="12.75" customHeight="1">
      <c r="F577" s="66"/>
      <c r="G577" s="66"/>
      <c r="H577" s="66"/>
      <c r="I577" s="66"/>
      <c r="J577" s="376"/>
      <c r="Q577" s="66"/>
      <c r="R577" s="66"/>
      <c r="V577" s="66"/>
      <c r="W577" s="66"/>
    </row>
    <row r="578" spans="6:23" ht="12.75" customHeight="1">
      <c r="F578" s="66"/>
      <c r="G578" s="66"/>
      <c r="H578" s="66"/>
      <c r="I578" s="66"/>
      <c r="J578" s="376"/>
      <c r="Q578" s="66"/>
      <c r="R578" s="66"/>
      <c r="V578" s="66"/>
      <c r="W578" s="66"/>
    </row>
    <row r="579" spans="6:23" ht="12.75" customHeight="1">
      <c r="F579" s="66"/>
      <c r="G579" s="66"/>
      <c r="H579" s="66"/>
      <c r="I579" s="66"/>
      <c r="J579" s="376"/>
      <c r="Q579" s="66"/>
      <c r="R579" s="66"/>
      <c r="V579" s="66"/>
      <c r="W579" s="66"/>
    </row>
    <row r="580" spans="6:23" ht="12.75" customHeight="1">
      <c r="F580" s="66"/>
      <c r="G580" s="66"/>
      <c r="H580" s="66"/>
      <c r="I580" s="66"/>
      <c r="J580" s="376"/>
      <c r="Q580" s="66"/>
      <c r="R580" s="66"/>
      <c r="V580" s="66"/>
      <c r="W580" s="66"/>
    </row>
    <row r="581" spans="6:23" ht="12.75" customHeight="1">
      <c r="F581" s="66"/>
      <c r="G581" s="66"/>
      <c r="H581" s="66"/>
      <c r="I581" s="66"/>
      <c r="J581" s="376"/>
      <c r="Q581" s="66"/>
      <c r="R581" s="66"/>
      <c r="V581" s="66"/>
      <c r="W581" s="66"/>
    </row>
    <row r="582" spans="6:23" ht="12.75" customHeight="1">
      <c r="F582" s="66"/>
      <c r="G582" s="66"/>
      <c r="H582" s="66"/>
      <c r="I582" s="66"/>
      <c r="J582" s="376"/>
      <c r="Q582" s="66"/>
      <c r="R582" s="66"/>
      <c r="V582" s="66"/>
      <c r="W582" s="66"/>
    </row>
    <row r="583" spans="6:23" ht="12.75" customHeight="1">
      <c r="F583" s="66"/>
      <c r="G583" s="66"/>
      <c r="H583" s="66"/>
      <c r="I583" s="66"/>
      <c r="J583" s="376"/>
      <c r="Q583" s="66"/>
      <c r="R583" s="66"/>
      <c r="V583" s="66"/>
      <c r="W583" s="66"/>
    </row>
    <row r="584" spans="6:23" ht="12.75" customHeight="1">
      <c r="F584" s="66"/>
      <c r="G584" s="66"/>
      <c r="H584" s="66"/>
      <c r="I584" s="66"/>
      <c r="J584" s="376"/>
      <c r="Q584" s="66"/>
      <c r="R584" s="66"/>
      <c r="V584" s="66"/>
      <c r="W584" s="66"/>
    </row>
    <row r="585" spans="6:23" ht="12.75" customHeight="1">
      <c r="F585" s="66"/>
      <c r="G585" s="66"/>
      <c r="H585" s="66"/>
      <c r="I585" s="66"/>
      <c r="J585" s="376"/>
      <c r="Q585" s="66"/>
      <c r="R585" s="66"/>
      <c r="V585" s="66"/>
      <c r="W585" s="66"/>
    </row>
    <row r="586" spans="6:23" ht="12.75" customHeight="1">
      <c r="F586" s="66"/>
      <c r="G586" s="66"/>
      <c r="H586" s="66"/>
      <c r="I586" s="66"/>
      <c r="J586" s="376"/>
      <c r="Q586" s="66"/>
      <c r="R586" s="66"/>
      <c r="V586" s="66"/>
      <c r="W586" s="66"/>
    </row>
    <row r="587" spans="6:23" ht="12.75" customHeight="1">
      <c r="F587" s="66"/>
      <c r="G587" s="66"/>
      <c r="H587" s="66"/>
      <c r="I587" s="66"/>
      <c r="J587" s="376"/>
      <c r="Q587" s="66"/>
      <c r="R587" s="66"/>
      <c r="V587" s="66"/>
      <c r="W587" s="66"/>
    </row>
    <row r="588" spans="6:23" ht="12.75" customHeight="1">
      <c r="F588" s="66"/>
      <c r="G588" s="66"/>
      <c r="H588" s="66"/>
      <c r="I588" s="66"/>
      <c r="J588" s="376"/>
      <c r="Q588" s="66"/>
      <c r="R588" s="66"/>
      <c r="V588" s="66"/>
      <c r="W588" s="66"/>
    </row>
    <row r="589" spans="6:23" ht="12.75" customHeight="1">
      <c r="F589" s="66"/>
      <c r="G589" s="66"/>
      <c r="H589" s="66"/>
      <c r="I589" s="66"/>
      <c r="J589" s="376"/>
      <c r="Q589" s="66"/>
      <c r="R589" s="66"/>
      <c r="V589" s="66"/>
      <c r="W589" s="66"/>
    </row>
    <row r="590" spans="6:23" ht="12.75" customHeight="1">
      <c r="F590" s="66"/>
      <c r="G590" s="66"/>
      <c r="H590" s="66"/>
      <c r="I590" s="66"/>
      <c r="J590" s="376"/>
      <c r="Q590" s="66"/>
      <c r="R590" s="66"/>
      <c r="V590" s="66"/>
      <c r="W590" s="66"/>
    </row>
    <row r="591" spans="6:23" ht="12.75" customHeight="1">
      <c r="F591" s="66"/>
      <c r="G591" s="66"/>
      <c r="H591" s="66"/>
      <c r="I591" s="66"/>
      <c r="J591" s="376"/>
      <c r="Q591" s="66"/>
      <c r="R591" s="66"/>
      <c r="V591" s="66"/>
      <c r="W591" s="66"/>
    </row>
    <row r="592" spans="6:23" ht="12.75" customHeight="1">
      <c r="F592" s="66"/>
      <c r="G592" s="66"/>
      <c r="H592" s="66"/>
      <c r="I592" s="66"/>
      <c r="J592" s="376"/>
      <c r="Q592" s="66"/>
      <c r="R592" s="66"/>
      <c r="V592" s="66"/>
      <c r="W592" s="66"/>
    </row>
    <row r="593" spans="6:23" ht="12.75" customHeight="1">
      <c r="F593" s="66"/>
      <c r="G593" s="66"/>
      <c r="H593" s="66"/>
      <c r="I593" s="66"/>
      <c r="J593" s="376"/>
      <c r="Q593" s="66"/>
      <c r="R593" s="66"/>
      <c r="V593" s="66"/>
      <c r="W593" s="66"/>
    </row>
    <row r="594" spans="6:23" ht="12.75" customHeight="1">
      <c r="F594" s="66"/>
      <c r="G594" s="66"/>
      <c r="H594" s="66"/>
      <c r="I594" s="66"/>
      <c r="J594" s="376"/>
      <c r="Q594" s="66"/>
      <c r="R594" s="66"/>
      <c r="V594" s="66"/>
      <c r="W594" s="66"/>
    </row>
    <row r="595" spans="6:23" ht="12.75" customHeight="1">
      <c r="F595" s="66"/>
      <c r="G595" s="66"/>
      <c r="H595" s="66"/>
      <c r="I595" s="66"/>
      <c r="J595" s="376"/>
      <c r="Q595" s="66"/>
      <c r="R595" s="66"/>
      <c r="V595" s="66"/>
      <c r="W595" s="66"/>
    </row>
    <row r="596" spans="6:23" ht="12.75" customHeight="1">
      <c r="F596" s="66"/>
      <c r="G596" s="66"/>
      <c r="H596" s="66"/>
      <c r="I596" s="66"/>
      <c r="J596" s="376"/>
      <c r="Q596" s="66"/>
      <c r="R596" s="66"/>
      <c r="V596" s="66"/>
      <c r="W596" s="66"/>
    </row>
    <row r="597" spans="6:23" ht="12.75" customHeight="1">
      <c r="F597" s="66"/>
      <c r="G597" s="66"/>
      <c r="H597" s="66"/>
      <c r="I597" s="66"/>
      <c r="J597" s="376"/>
      <c r="Q597" s="66"/>
      <c r="R597" s="66"/>
      <c r="V597" s="66"/>
      <c r="W597" s="66"/>
    </row>
    <row r="598" spans="6:23" ht="12.75" customHeight="1">
      <c r="F598" s="66"/>
      <c r="G598" s="66"/>
      <c r="H598" s="66"/>
      <c r="I598" s="66"/>
      <c r="J598" s="376"/>
      <c r="Q598" s="66"/>
      <c r="R598" s="66"/>
      <c r="V598" s="66"/>
      <c r="W598" s="66"/>
    </row>
    <row r="599" spans="6:23" ht="12.75" customHeight="1">
      <c r="F599" s="66"/>
      <c r="G599" s="66"/>
      <c r="H599" s="66"/>
      <c r="I599" s="66"/>
      <c r="J599" s="376"/>
      <c r="Q599" s="66"/>
      <c r="R599" s="66"/>
      <c r="V599" s="66"/>
      <c r="W599" s="66"/>
    </row>
    <row r="600" spans="6:23" ht="12.75" customHeight="1">
      <c r="F600" s="66"/>
      <c r="G600" s="66"/>
      <c r="H600" s="66"/>
      <c r="I600" s="66"/>
      <c r="J600" s="376"/>
      <c r="Q600" s="66"/>
      <c r="R600" s="66"/>
      <c r="V600" s="66"/>
      <c r="W600" s="66"/>
    </row>
    <row r="601" spans="6:23" ht="12.75" customHeight="1">
      <c r="F601" s="66"/>
      <c r="G601" s="66"/>
      <c r="H601" s="66"/>
      <c r="I601" s="66"/>
      <c r="J601" s="376"/>
      <c r="Q601" s="66"/>
      <c r="R601" s="66"/>
      <c r="V601" s="66"/>
      <c r="W601" s="66"/>
    </row>
    <row r="602" spans="6:23" ht="12.75" customHeight="1">
      <c r="F602" s="66"/>
      <c r="G602" s="66"/>
      <c r="H602" s="66"/>
      <c r="I602" s="66"/>
      <c r="J602" s="376"/>
      <c r="Q602" s="66"/>
      <c r="R602" s="66"/>
      <c r="V602" s="66"/>
      <c r="W602" s="66"/>
    </row>
    <row r="603" spans="6:23" ht="12.75" customHeight="1">
      <c r="F603" s="66"/>
      <c r="G603" s="66"/>
      <c r="H603" s="66"/>
      <c r="I603" s="66"/>
      <c r="J603" s="376"/>
      <c r="Q603" s="66"/>
      <c r="R603" s="66"/>
      <c r="V603" s="66"/>
      <c r="W603" s="66"/>
    </row>
    <row r="604" spans="6:23" ht="12.75" customHeight="1">
      <c r="F604" s="66"/>
      <c r="G604" s="66"/>
      <c r="H604" s="66"/>
      <c r="I604" s="66"/>
      <c r="J604" s="376"/>
      <c r="Q604" s="66"/>
      <c r="R604" s="66"/>
      <c r="V604" s="66"/>
      <c r="W604" s="66"/>
    </row>
    <row r="605" spans="6:23" ht="12.75" customHeight="1">
      <c r="F605" s="66"/>
      <c r="G605" s="66"/>
      <c r="H605" s="66"/>
      <c r="I605" s="66"/>
      <c r="J605" s="376"/>
      <c r="Q605" s="66"/>
      <c r="R605" s="66"/>
      <c r="V605" s="66"/>
      <c r="W605" s="66"/>
    </row>
    <row r="606" spans="6:23" ht="12.75" customHeight="1">
      <c r="F606" s="66"/>
      <c r="G606" s="66"/>
      <c r="H606" s="66"/>
      <c r="I606" s="66"/>
      <c r="J606" s="376"/>
      <c r="Q606" s="66"/>
      <c r="R606" s="66"/>
      <c r="V606" s="66"/>
      <c r="W606" s="66"/>
    </row>
    <row r="607" spans="6:23" ht="12.75" customHeight="1">
      <c r="F607" s="66"/>
      <c r="G607" s="66"/>
      <c r="H607" s="66"/>
      <c r="I607" s="66"/>
      <c r="J607" s="376"/>
      <c r="Q607" s="66"/>
      <c r="R607" s="66"/>
      <c r="V607" s="66"/>
      <c r="W607" s="66"/>
    </row>
    <row r="608" spans="6:23" ht="12.75" customHeight="1">
      <c r="F608" s="66"/>
      <c r="G608" s="66"/>
      <c r="H608" s="66"/>
      <c r="I608" s="66"/>
      <c r="J608" s="376"/>
      <c r="Q608" s="66"/>
      <c r="R608" s="66"/>
      <c r="V608" s="66"/>
      <c r="W608" s="66"/>
    </row>
    <row r="609" spans="6:23" ht="12.75" customHeight="1">
      <c r="F609" s="66"/>
      <c r="G609" s="66"/>
      <c r="H609" s="66"/>
      <c r="I609" s="66"/>
      <c r="J609" s="376"/>
      <c r="Q609" s="66"/>
      <c r="R609" s="66"/>
      <c r="V609" s="66"/>
      <c r="W609" s="66"/>
    </row>
    <row r="610" spans="6:23" ht="12.75" customHeight="1">
      <c r="F610" s="66"/>
      <c r="G610" s="66"/>
      <c r="H610" s="66"/>
      <c r="I610" s="66"/>
      <c r="J610" s="376"/>
      <c r="Q610" s="66"/>
      <c r="R610" s="66"/>
      <c r="V610" s="66"/>
      <c r="W610" s="66"/>
    </row>
    <row r="611" spans="6:23" ht="12.75" customHeight="1">
      <c r="F611" s="66"/>
      <c r="G611" s="66"/>
      <c r="H611" s="66"/>
      <c r="I611" s="66"/>
      <c r="J611" s="376"/>
      <c r="Q611" s="66"/>
      <c r="R611" s="66"/>
      <c r="V611" s="66"/>
      <c r="W611" s="66"/>
    </row>
    <row r="612" spans="6:23" ht="12.75" customHeight="1">
      <c r="F612" s="66"/>
      <c r="G612" s="66"/>
      <c r="H612" s="66"/>
      <c r="I612" s="66"/>
      <c r="J612" s="376"/>
      <c r="Q612" s="66"/>
      <c r="R612" s="66"/>
      <c r="V612" s="66"/>
      <c r="W612" s="66"/>
    </row>
    <row r="613" spans="6:23" ht="12.75" customHeight="1">
      <c r="F613" s="66"/>
      <c r="G613" s="66"/>
      <c r="H613" s="66"/>
      <c r="I613" s="66"/>
      <c r="J613" s="376"/>
      <c r="Q613" s="66"/>
      <c r="R613" s="66"/>
      <c r="V613" s="66"/>
      <c r="W613" s="66"/>
    </row>
    <row r="614" spans="6:23" ht="12.75" customHeight="1">
      <c r="F614" s="66"/>
      <c r="G614" s="66"/>
      <c r="H614" s="66"/>
      <c r="I614" s="66"/>
      <c r="J614" s="376"/>
      <c r="Q614" s="66"/>
      <c r="R614" s="66"/>
      <c r="V614" s="66"/>
      <c r="W614" s="66"/>
    </row>
    <row r="615" spans="6:23" ht="12.75" customHeight="1">
      <c r="F615" s="66"/>
      <c r="G615" s="66"/>
      <c r="H615" s="66"/>
      <c r="I615" s="66"/>
      <c r="J615" s="376"/>
      <c r="Q615" s="66"/>
      <c r="R615" s="66"/>
      <c r="V615" s="66"/>
      <c r="W615" s="66"/>
    </row>
    <row r="616" spans="6:23" ht="12.75" customHeight="1">
      <c r="F616" s="66"/>
      <c r="G616" s="66"/>
      <c r="H616" s="66"/>
      <c r="I616" s="66"/>
      <c r="J616" s="376"/>
      <c r="Q616" s="66"/>
      <c r="R616" s="66"/>
      <c r="V616" s="66"/>
      <c r="W616" s="66"/>
    </row>
    <row r="617" spans="6:23" ht="12.75" customHeight="1">
      <c r="F617" s="66"/>
      <c r="G617" s="66"/>
      <c r="H617" s="66"/>
      <c r="I617" s="66"/>
      <c r="J617" s="376"/>
      <c r="Q617" s="66"/>
      <c r="R617" s="66"/>
      <c r="V617" s="66"/>
      <c r="W617" s="66"/>
    </row>
    <row r="618" spans="6:23" ht="12.75" customHeight="1">
      <c r="F618" s="66"/>
      <c r="G618" s="66"/>
      <c r="H618" s="66"/>
      <c r="I618" s="66"/>
      <c r="J618" s="376"/>
      <c r="Q618" s="66"/>
      <c r="R618" s="66"/>
      <c r="V618" s="66"/>
      <c r="W618" s="66"/>
    </row>
    <row r="619" spans="6:23" ht="12.75" customHeight="1">
      <c r="F619" s="66"/>
      <c r="G619" s="66"/>
      <c r="H619" s="66"/>
      <c r="I619" s="66"/>
      <c r="J619" s="376"/>
      <c r="Q619" s="66"/>
      <c r="R619" s="66"/>
      <c r="V619" s="66"/>
      <c r="W619" s="66"/>
    </row>
    <row r="620" spans="6:23" ht="12.75" customHeight="1">
      <c r="F620" s="66"/>
      <c r="G620" s="66"/>
      <c r="H620" s="66"/>
      <c r="I620" s="66"/>
      <c r="J620" s="376"/>
      <c r="Q620" s="66"/>
      <c r="R620" s="66"/>
      <c r="V620" s="66"/>
      <c r="W620" s="66"/>
    </row>
    <row r="621" spans="6:23" ht="12.75" customHeight="1">
      <c r="F621" s="66"/>
      <c r="G621" s="66"/>
      <c r="H621" s="66"/>
      <c r="I621" s="66"/>
      <c r="J621" s="376"/>
      <c r="Q621" s="66"/>
      <c r="R621" s="66"/>
      <c r="V621" s="66"/>
      <c r="W621" s="66"/>
    </row>
    <row r="622" spans="6:23" ht="12.75" customHeight="1">
      <c r="F622" s="66"/>
      <c r="G622" s="66"/>
      <c r="H622" s="66"/>
      <c r="I622" s="66"/>
      <c r="J622" s="376"/>
      <c r="Q622" s="66"/>
      <c r="R622" s="66"/>
      <c r="V622" s="66"/>
      <c r="W622" s="66"/>
    </row>
    <row r="623" spans="6:23" ht="12.75" customHeight="1">
      <c r="F623" s="66"/>
      <c r="G623" s="66"/>
      <c r="H623" s="66"/>
      <c r="I623" s="66"/>
      <c r="J623" s="376"/>
      <c r="Q623" s="66"/>
      <c r="R623" s="66"/>
      <c r="V623" s="66"/>
      <c r="W623" s="66"/>
    </row>
    <row r="624" spans="6:23" ht="12.75" customHeight="1">
      <c r="F624" s="66"/>
      <c r="G624" s="66"/>
      <c r="H624" s="66"/>
      <c r="I624" s="66"/>
      <c r="J624" s="376"/>
      <c r="Q624" s="66"/>
      <c r="R624" s="66"/>
      <c r="V624" s="66"/>
      <c r="W624" s="66"/>
    </row>
    <row r="625" spans="6:23" ht="12.75" customHeight="1">
      <c r="F625" s="66"/>
      <c r="G625" s="66"/>
      <c r="H625" s="66"/>
      <c r="I625" s="66"/>
      <c r="J625" s="376"/>
      <c r="Q625" s="66"/>
      <c r="R625" s="66"/>
      <c r="V625" s="66"/>
      <c r="W625" s="66"/>
    </row>
    <row r="626" spans="6:23" ht="12.75" customHeight="1">
      <c r="F626" s="66"/>
      <c r="G626" s="66"/>
      <c r="H626" s="66"/>
      <c r="I626" s="66"/>
      <c r="J626" s="376"/>
      <c r="Q626" s="66"/>
      <c r="R626" s="66"/>
      <c r="V626" s="66"/>
      <c r="W626" s="66"/>
    </row>
    <row r="627" spans="6:23" ht="12.75" customHeight="1">
      <c r="F627" s="66"/>
      <c r="G627" s="66"/>
      <c r="H627" s="66"/>
      <c r="I627" s="66"/>
      <c r="J627" s="376"/>
      <c r="Q627" s="66"/>
      <c r="R627" s="66"/>
      <c r="V627" s="66"/>
      <c r="W627" s="66"/>
    </row>
    <row r="628" spans="6:23" ht="12.75" customHeight="1">
      <c r="F628" s="66"/>
      <c r="G628" s="66"/>
      <c r="H628" s="66"/>
      <c r="I628" s="66"/>
      <c r="J628" s="376"/>
      <c r="Q628" s="66"/>
      <c r="R628" s="66"/>
      <c r="V628" s="66"/>
      <c r="W628" s="66"/>
    </row>
    <row r="629" spans="6:23" ht="12.75" customHeight="1">
      <c r="F629" s="66"/>
      <c r="G629" s="66"/>
      <c r="H629" s="66"/>
      <c r="I629" s="66"/>
      <c r="J629" s="376"/>
      <c r="Q629" s="66"/>
      <c r="R629" s="66"/>
      <c r="V629" s="66"/>
      <c r="W629" s="66"/>
    </row>
    <row r="630" spans="6:23" ht="12.75" customHeight="1">
      <c r="F630" s="66"/>
      <c r="G630" s="66"/>
      <c r="H630" s="66"/>
      <c r="I630" s="66"/>
      <c r="J630" s="376"/>
      <c r="Q630" s="66"/>
      <c r="R630" s="66"/>
      <c r="V630" s="66"/>
      <c r="W630" s="66"/>
    </row>
    <row r="631" spans="6:23" ht="12.75" customHeight="1">
      <c r="F631" s="66"/>
      <c r="G631" s="66"/>
      <c r="H631" s="66"/>
      <c r="I631" s="66"/>
      <c r="J631" s="376"/>
      <c r="Q631" s="66"/>
      <c r="R631" s="66"/>
      <c r="V631" s="66"/>
      <c r="W631" s="66"/>
    </row>
    <row r="632" spans="6:23" ht="12.75" customHeight="1">
      <c r="F632" s="66"/>
      <c r="G632" s="66"/>
      <c r="H632" s="66"/>
      <c r="I632" s="66"/>
      <c r="J632" s="376"/>
      <c r="Q632" s="66"/>
      <c r="R632" s="66"/>
      <c r="V632" s="66"/>
      <c r="W632" s="66"/>
    </row>
    <row r="633" spans="6:23" ht="12.75" customHeight="1">
      <c r="F633" s="66"/>
      <c r="G633" s="66"/>
      <c r="H633" s="66"/>
      <c r="I633" s="66"/>
      <c r="J633" s="376"/>
      <c r="Q633" s="66"/>
      <c r="R633" s="66"/>
      <c r="V633" s="66"/>
      <c r="W633" s="66"/>
    </row>
    <row r="634" spans="6:23" ht="12.75" customHeight="1">
      <c r="F634" s="66"/>
      <c r="G634" s="66"/>
      <c r="H634" s="66"/>
      <c r="I634" s="66"/>
      <c r="J634" s="376"/>
      <c r="Q634" s="66"/>
      <c r="R634" s="66"/>
      <c r="V634" s="66"/>
      <c r="W634" s="66"/>
    </row>
    <row r="635" spans="6:23" ht="12.75" customHeight="1">
      <c r="F635" s="66"/>
      <c r="G635" s="66"/>
      <c r="H635" s="66"/>
      <c r="I635" s="66"/>
      <c r="J635" s="376"/>
      <c r="Q635" s="66"/>
      <c r="R635" s="66"/>
      <c r="V635" s="66"/>
      <c r="W635" s="66"/>
    </row>
    <row r="636" spans="6:23" ht="12.75" customHeight="1">
      <c r="F636" s="66"/>
      <c r="G636" s="66"/>
      <c r="H636" s="66"/>
      <c r="I636" s="66"/>
      <c r="J636" s="376"/>
      <c r="Q636" s="66"/>
      <c r="R636" s="66"/>
      <c r="V636" s="66"/>
      <c r="W636" s="66"/>
    </row>
    <row r="637" spans="6:23" ht="12.75" customHeight="1">
      <c r="F637" s="66"/>
      <c r="G637" s="66"/>
      <c r="H637" s="66"/>
      <c r="I637" s="66"/>
      <c r="J637" s="376"/>
      <c r="Q637" s="66"/>
      <c r="R637" s="66"/>
      <c r="V637" s="66"/>
      <c r="W637" s="66"/>
    </row>
    <row r="638" spans="6:23" ht="12.75" customHeight="1">
      <c r="F638" s="66"/>
      <c r="G638" s="66"/>
      <c r="H638" s="66"/>
      <c r="I638" s="66"/>
      <c r="J638" s="376"/>
      <c r="Q638" s="66"/>
      <c r="R638" s="66"/>
      <c r="V638" s="66"/>
      <c r="W638" s="66"/>
    </row>
    <row r="639" spans="6:23" ht="12.75" customHeight="1">
      <c r="F639" s="66"/>
      <c r="G639" s="66"/>
      <c r="H639" s="66"/>
      <c r="I639" s="66"/>
      <c r="J639" s="376"/>
      <c r="Q639" s="66"/>
      <c r="R639" s="66"/>
      <c r="V639" s="66"/>
      <c r="W639" s="66"/>
    </row>
    <row r="640" spans="6:23" ht="12.75" customHeight="1">
      <c r="F640" s="66"/>
      <c r="G640" s="66"/>
      <c r="H640" s="66"/>
      <c r="I640" s="66"/>
      <c r="J640" s="376"/>
      <c r="Q640" s="66"/>
      <c r="R640" s="66"/>
      <c r="V640" s="66"/>
      <c r="W640" s="66"/>
    </row>
    <row r="641" spans="6:23" ht="12.75" customHeight="1">
      <c r="F641" s="66"/>
      <c r="G641" s="66"/>
      <c r="H641" s="66"/>
      <c r="I641" s="66"/>
      <c r="J641" s="376"/>
      <c r="Q641" s="66"/>
      <c r="R641" s="66"/>
      <c r="V641" s="66"/>
      <c r="W641" s="66"/>
    </row>
    <row r="642" spans="6:23" ht="12.75" customHeight="1">
      <c r="F642" s="66"/>
      <c r="G642" s="66"/>
      <c r="H642" s="66"/>
      <c r="I642" s="66"/>
      <c r="J642" s="376"/>
      <c r="Q642" s="66"/>
      <c r="R642" s="66"/>
      <c r="V642" s="66"/>
      <c r="W642" s="66"/>
    </row>
    <row r="643" spans="6:23" ht="12.75" customHeight="1">
      <c r="F643" s="66"/>
      <c r="G643" s="66"/>
      <c r="H643" s="66"/>
      <c r="I643" s="66"/>
      <c r="J643" s="376"/>
      <c r="Q643" s="66"/>
      <c r="R643" s="66"/>
      <c r="V643" s="66"/>
      <c r="W643" s="66"/>
    </row>
    <row r="644" spans="6:23" ht="12.75" customHeight="1">
      <c r="F644" s="66"/>
      <c r="G644" s="66"/>
      <c r="H644" s="66"/>
      <c r="I644" s="66"/>
      <c r="J644" s="376"/>
      <c r="Q644" s="66"/>
      <c r="R644" s="66"/>
      <c r="V644" s="66"/>
      <c r="W644" s="66"/>
    </row>
    <row r="645" spans="6:23" ht="12.75" customHeight="1">
      <c r="F645" s="66"/>
      <c r="G645" s="66"/>
      <c r="H645" s="66"/>
      <c r="I645" s="66"/>
      <c r="J645" s="376"/>
      <c r="Q645" s="66"/>
      <c r="R645" s="66"/>
      <c r="V645" s="66"/>
      <c r="W645" s="66"/>
    </row>
    <row r="646" spans="6:23" ht="12.75" customHeight="1">
      <c r="F646" s="66"/>
      <c r="G646" s="66"/>
      <c r="H646" s="66"/>
      <c r="I646" s="66"/>
      <c r="J646" s="376"/>
      <c r="Q646" s="66"/>
      <c r="R646" s="66"/>
      <c r="V646" s="66"/>
      <c r="W646" s="66"/>
    </row>
    <row r="647" spans="6:23" ht="12.75" customHeight="1">
      <c r="F647" s="66"/>
      <c r="G647" s="66"/>
      <c r="H647" s="66"/>
      <c r="I647" s="66"/>
      <c r="J647" s="376"/>
      <c r="Q647" s="66"/>
      <c r="R647" s="66"/>
      <c r="V647" s="66"/>
      <c r="W647" s="66"/>
    </row>
    <row r="648" spans="6:23" ht="12.75" customHeight="1">
      <c r="F648" s="66"/>
      <c r="G648" s="66"/>
      <c r="H648" s="66"/>
      <c r="I648" s="66"/>
      <c r="J648" s="376"/>
      <c r="Q648" s="66"/>
      <c r="R648" s="66"/>
      <c r="V648" s="66"/>
      <c r="W648" s="66"/>
    </row>
    <row r="649" spans="6:23" ht="12.75" customHeight="1">
      <c r="F649" s="66"/>
      <c r="G649" s="66"/>
      <c r="H649" s="66"/>
      <c r="I649" s="66"/>
      <c r="J649" s="376"/>
      <c r="Q649" s="66"/>
      <c r="R649" s="66"/>
      <c r="V649" s="66"/>
      <c r="W649" s="66"/>
    </row>
    <row r="650" spans="6:23" ht="12.75" customHeight="1">
      <c r="F650" s="66"/>
      <c r="G650" s="66"/>
      <c r="H650" s="66"/>
      <c r="I650" s="66"/>
      <c r="J650" s="376"/>
      <c r="Q650" s="66"/>
      <c r="R650" s="66"/>
      <c r="V650" s="66"/>
      <c r="W650" s="66"/>
    </row>
    <row r="651" spans="6:23" ht="12.75" customHeight="1">
      <c r="F651" s="66"/>
      <c r="G651" s="66"/>
      <c r="H651" s="66"/>
      <c r="I651" s="66"/>
      <c r="J651" s="376"/>
      <c r="Q651" s="66"/>
      <c r="R651" s="66"/>
      <c r="V651" s="66"/>
      <c r="W651" s="66"/>
    </row>
    <row r="652" spans="6:23" ht="12.75" customHeight="1">
      <c r="F652" s="66"/>
      <c r="G652" s="66"/>
      <c r="H652" s="66"/>
      <c r="I652" s="66"/>
      <c r="J652" s="376"/>
      <c r="Q652" s="66"/>
      <c r="R652" s="66"/>
      <c r="V652" s="66"/>
      <c r="W652" s="66"/>
    </row>
    <row r="653" spans="6:23" ht="12.75" customHeight="1">
      <c r="F653" s="66"/>
      <c r="G653" s="66"/>
      <c r="H653" s="66"/>
      <c r="I653" s="66"/>
      <c r="J653" s="376"/>
      <c r="Q653" s="66"/>
      <c r="R653" s="66"/>
      <c r="V653" s="66"/>
      <c r="W653" s="66"/>
    </row>
    <row r="654" spans="6:23" ht="12.75" customHeight="1">
      <c r="F654" s="66"/>
      <c r="G654" s="66"/>
      <c r="H654" s="66"/>
      <c r="I654" s="66"/>
      <c r="J654" s="376"/>
      <c r="Q654" s="66"/>
      <c r="R654" s="66"/>
      <c r="V654" s="66"/>
      <c r="W654" s="66"/>
    </row>
    <row r="655" spans="6:23" ht="12.75" customHeight="1">
      <c r="F655" s="66"/>
      <c r="G655" s="66"/>
      <c r="H655" s="66"/>
      <c r="I655" s="66"/>
      <c r="J655" s="376"/>
      <c r="Q655" s="66"/>
      <c r="R655" s="66"/>
      <c r="V655" s="66"/>
      <c r="W655" s="66"/>
    </row>
    <row r="656" spans="6:23" ht="12.75" customHeight="1">
      <c r="F656" s="66"/>
      <c r="G656" s="66"/>
      <c r="H656" s="66"/>
      <c r="I656" s="66"/>
      <c r="J656" s="376"/>
      <c r="Q656" s="66"/>
      <c r="R656" s="66"/>
      <c r="V656" s="66"/>
      <c r="W656" s="66"/>
    </row>
    <row r="657" spans="6:23" ht="12.75" customHeight="1">
      <c r="F657" s="66"/>
      <c r="G657" s="66"/>
      <c r="H657" s="66"/>
      <c r="I657" s="66"/>
      <c r="J657" s="376"/>
      <c r="Q657" s="66"/>
      <c r="R657" s="66"/>
      <c r="V657" s="66"/>
      <c r="W657" s="66"/>
    </row>
    <row r="658" spans="6:23" ht="12.75" customHeight="1">
      <c r="F658" s="66"/>
      <c r="G658" s="66"/>
      <c r="H658" s="66"/>
      <c r="I658" s="66"/>
      <c r="J658" s="376"/>
      <c r="Q658" s="66"/>
      <c r="R658" s="66"/>
      <c r="V658" s="66"/>
      <c r="W658" s="66"/>
    </row>
    <row r="659" spans="6:23" ht="12.75" customHeight="1">
      <c r="F659" s="66"/>
      <c r="G659" s="66"/>
      <c r="H659" s="66"/>
      <c r="I659" s="66"/>
      <c r="J659" s="376"/>
      <c r="Q659" s="66"/>
      <c r="R659" s="66"/>
      <c r="V659" s="66"/>
      <c r="W659" s="66"/>
    </row>
    <row r="660" spans="6:23" ht="12.75" customHeight="1">
      <c r="F660" s="66"/>
      <c r="G660" s="66"/>
      <c r="H660" s="66"/>
      <c r="I660" s="66"/>
      <c r="J660" s="376"/>
      <c r="Q660" s="66"/>
      <c r="R660" s="66"/>
      <c r="V660" s="66"/>
      <c r="W660" s="66"/>
    </row>
    <row r="661" spans="6:23" ht="12.75" customHeight="1">
      <c r="F661" s="66"/>
      <c r="G661" s="66"/>
      <c r="H661" s="66"/>
      <c r="I661" s="66"/>
      <c r="J661" s="376"/>
      <c r="Q661" s="66"/>
      <c r="R661" s="66"/>
      <c r="V661" s="66"/>
      <c r="W661" s="66"/>
    </row>
    <row r="662" spans="6:23" ht="12.75" customHeight="1">
      <c r="F662" s="66"/>
      <c r="G662" s="66"/>
      <c r="H662" s="66"/>
      <c r="I662" s="66"/>
      <c r="J662" s="376"/>
      <c r="Q662" s="66"/>
      <c r="R662" s="66"/>
      <c r="V662" s="66"/>
      <c r="W662" s="66"/>
    </row>
    <row r="663" spans="6:23" ht="12.75" customHeight="1">
      <c r="F663" s="66"/>
      <c r="G663" s="66"/>
      <c r="H663" s="66"/>
      <c r="I663" s="66"/>
      <c r="J663" s="376"/>
      <c r="Q663" s="66"/>
      <c r="R663" s="66"/>
      <c r="V663" s="66"/>
      <c r="W663" s="66"/>
    </row>
    <row r="664" spans="6:23" ht="12.75" customHeight="1">
      <c r="F664" s="66"/>
      <c r="G664" s="66"/>
      <c r="H664" s="66"/>
      <c r="I664" s="66"/>
      <c r="J664" s="376"/>
      <c r="Q664" s="66"/>
      <c r="R664" s="66"/>
      <c r="V664" s="66"/>
      <c r="W664" s="66"/>
    </row>
    <row r="665" spans="6:23" ht="12.75" customHeight="1">
      <c r="F665" s="66"/>
      <c r="G665" s="66"/>
      <c r="H665" s="66"/>
      <c r="I665" s="66"/>
      <c r="J665" s="376"/>
      <c r="Q665" s="66"/>
      <c r="R665" s="66"/>
      <c r="V665" s="66"/>
      <c r="W665" s="66"/>
    </row>
    <row r="666" spans="6:23" ht="12.75" customHeight="1">
      <c r="F666" s="66"/>
      <c r="G666" s="66"/>
      <c r="H666" s="66"/>
      <c r="I666" s="66"/>
      <c r="J666" s="376"/>
      <c r="Q666" s="66"/>
      <c r="R666" s="66"/>
      <c r="V666" s="66"/>
      <c r="W666" s="66"/>
    </row>
    <row r="667" spans="6:23" ht="12.75" customHeight="1">
      <c r="F667" s="66"/>
      <c r="G667" s="66"/>
      <c r="H667" s="66"/>
      <c r="I667" s="66"/>
      <c r="J667" s="376"/>
      <c r="Q667" s="66"/>
      <c r="R667" s="66"/>
      <c r="V667" s="66"/>
      <c r="W667" s="66"/>
    </row>
    <row r="668" spans="6:23" ht="12.75" customHeight="1">
      <c r="F668" s="66"/>
      <c r="G668" s="66"/>
      <c r="H668" s="66"/>
      <c r="I668" s="66"/>
      <c r="J668" s="376"/>
      <c r="Q668" s="66"/>
      <c r="R668" s="66"/>
      <c r="V668" s="66"/>
      <c r="W668" s="66"/>
    </row>
    <row r="669" spans="6:23" ht="12.75" customHeight="1">
      <c r="F669" s="66"/>
      <c r="G669" s="66"/>
      <c r="H669" s="66"/>
      <c r="I669" s="66"/>
      <c r="J669" s="376"/>
      <c r="Q669" s="66"/>
      <c r="R669" s="66"/>
      <c r="V669" s="66"/>
      <c r="W669" s="66"/>
    </row>
    <row r="670" spans="6:23" ht="12.75" customHeight="1">
      <c r="F670" s="66"/>
      <c r="G670" s="66"/>
      <c r="H670" s="66"/>
      <c r="I670" s="66"/>
      <c r="J670" s="376"/>
      <c r="Q670" s="66"/>
      <c r="R670" s="66"/>
      <c r="V670" s="66"/>
      <c r="W670" s="66"/>
    </row>
    <row r="671" spans="6:23" ht="12.75" customHeight="1">
      <c r="F671" s="66"/>
      <c r="G671" s="66"/>
      <c r="H671" s="66"/>
      <c r="I671" s="66"/>
      <c r="J671" s="376"/>
      <c r="Q671" s="66"/>
      <c r="R671" s="66"/>
      <c r="V671" s="66"/>
      <c r="W671" s="66"/>
    </row>
    <row r="672" spans="6:23" ht="12.75" customHeight="1">
      <c r="F672" s="66"/>
      <c r="G672" s="66"/>
      <c r="H672" s="66"/>
      <c r="I672" s="66"/>
      <c r="J672" s="376"/>
      <c r="Q672" s="66"/>
      <c r="R672" s="66"/>
      <c r="V672" s="66"/>
      <c r="W672" s="66"/>
    </row>
    <row r="673" spans="6:23" ht="12.75" customHeight="1">
      <c r="F673" s="66"/>
      <c r="G673" s="66"/>
      <c r="H673" s="66"/>
      <c r="I673" s="66"/>
      <c r="J673" s="376"/>
      <c r="Q673" s="66"/>
      <c r="R673" s="66"/>
      <c r="V673" s="66"/>
      <c r="W673" s="66"/>
    </row>
    <row r="674" spans="6:23" ht="12.75" customHeight="1">
      <c r="F674" s="66"/>
      <c r="G674" s="66"/>
      <c r="H674" s="66"/>
      <c r="I674" s="66"/>
      <c r="J674" s="376"/>
      <c r="Q674" s="66"/>
      <c r="R674" s="66"/>
      <c r="V674" s="66"/>
      <c r="W674" s="66"/>
    </row>
    <row r="675" spans="6:23" ht="12.75" customHeight="1">
      <c r="F675" s="66"/>
      <c r="G675" s="66"/>
      <c r="H675" s="66"/>
      <c r="I675" s="66"/>
      <c r="J675" s="376"/>
      <c r="Q675" s="66"/>
      <c r="R675" s="66"/>
      <c r="V675" s="66"/>
      <c r="W675" s="66"/>
    </row>
    <row r="676" spans="6:23" ht="12.75" customHeight="1">
      <c r="F676" s="66"/>
      <c r="G676" s="66"/>
      <c r="H676" s="66"/>
      <c r="I676" s="66"/>
      <c r="J676" s="376"/>
      <c r="Q676" s="66"/>
      <c r="R676" s="66"/>
      <c r="V676" s="66"/>
      <c r="W676" s="66"/>
    </row>
    <row r="677" spans="6:23" ht="12.75" customHeight="1">
      <c r="F677" s="66"/>
      <c r="G677" s="66"/>
      <c r="H677" s="66"/>
      <c r="I677" s="66"/>
      <c r="J677" s="376"/>
      <c r="Q677" s="66"/>
      <c r="R677" s="66"/>
      <c r="V677" s="66"/>
      <c r="W677" s="66"/>
    </row>
    <row r="678" spans="6:23" ht="12.75" customHeight="1">
      <c r="F678" s="66"/>
      <c r="G678" s="66"/>
      <c r="H678" s="66"/>
      <c r="I678" s="66"/>
      <c r="J678" s="376"/>
      <c r="Q678" s="66"/>
      <c r="R678" s="66"/>
      <c r="V678" s="66"/>
      <c r="W678" s="66"/>
    </row>
    <row r="679" spans="6:23" ht="12.75" customHeight="1">
      <c r="F679" s="66"/>
      <c r="G679" s="66"/>
      <c r="H679" s="66"/>
      <c r="I679" s="66"/>
      <c r="J679" s="376"/>
      <c r="Q679" s="66"/>
      <c r="R679" s="66"/>
      <c r="V679" s="66"/>
      <c r="W679" s="66"/>
    </row>
    <row r="680" spans="6:23" ht="12.75" customHeight="1">
      <c r="F680" s="66"/>
      <c r="G680" s="66"/>
      <c r="H680" s="66"/>
      <c r="I680" s="66"/>
      <c r="J680" s="376"/>
      <c r="Q680" s="66"/>
      <c r="R680" s="66"/>
      <c r="V680" s="66"/>
      <c r="W680" s="66"/>
    </row>
    <row r="681" spans="6:23" ht="12.75" customHeight="1">
      <c r="F681" s="66"/>
      <c r="G681" s="66"/>
      <c r="H681" s="66"/>
      <c r="I681" s="66"/>
      <c r="J681" s="376"/>
      <c r="Q681" s="66"/>
      <c r="R681" s="66"/>
      <c r="V681" s="66"/>
      <c r="W681" s="66"/>
    </row>
    <row r="682" spans="6:23" ht="12.75" customHeight="1">
      <c r="F682" s="66"/>
      <c r="G682" s="66"/>
      <c r="H682" s="66"/>
      <c r="I682" s="66"/>
      <c r="J682" s="376"/>
      <c r="Q682" s="66"/>
      <c r="R682" s="66"/>
      <c r="V682" s="66"/>
      <c r="W682" s="66"/>
    </row>
    <row r="683" spans="6:23" ht="12.75" customHeight="1">
      <c r="F683" s="66"/>
      <c r="G683" s="66"/>
      <c r="H683" s="66"/>
      <c r="I683" s="66"/>
      <c r="J683" s="376"/>
      <c r="Q683" s="66"/>
      <c r="R683" s="66"/>
      <c r="V683" s="66"/>
      <c r="W683" s="66"/>
    </row>
    <row r="684" spans="6:23" ht="12.75" customHeight="1">
      <c r="F684" s="66"/>
      <c r="G684" s="66"/>
      <c r="H684" s="66"/>
      <c r="I684" s="66"/>
      <c r="J684" s="376"/>
      <c r="Q684" s="66"/>
      <c r="R684" s="66"/>
      <c r="V684" s="66"/>
      <c r="W684" s="66"/>
    </row>
    <row r="685" spans="6:23" ht="12.75" customHeight="1">
      <c r="F685" s="66"/>
      <c r="G685" s="66"/>
      <c r="H685" s="66"/>
      <c r="I685" s="66"/>
      <c r="J685" s="376"/>
      <c r="Q685" s="66"/>
      <c r="R685" s="66"/>
      <c r="V685" s="66"/>
      <c r="W685" s="66"/>
    </row>
    <row r="686" spans="6:23" ht="12.75" customHeight="1">
      <c r="F686" s="66"/>
      <c r="G686" s="66"/>
      <c r="H686" s="66"/>
      <c r="I686" s="66"/>
      <c r="J686" s="376"/>
      <c r="Q686" s="66"/>
      <c r="R686" s="66"/>
      <c r="V686" s="66"/>
      <c r="W686" s="66"/>
    </row>
    <row r="687" spans="6:23" ht="12.75" customHeight="1">
      <c r="F687" s="66"/>
      <c r="G687" s="66"/>
      <c r="H687" s="66"/>
      <c r="I687" s="66"/>
      <c r="J687" s="376"/>
      <c r="Q687" s="66"/>
      <c r="R687" s="66"/>
      <c r="V687" s="66"/>
      <c r="W687" s="66"/>
    </row>
    <row r="688" spans="6:23" ht="12.75" customHeight="1">
      <c r="F688" s="66"/>
      <c r="G688" s="66"/>
      <c r="H688" s="66"/>
      <c r="I688" s="66"/>
      <c r="J688" s="376"/>
      <c r="Q688" s="66"/>
      <c r="R688" s="66"/>
      <c r="V688" s="66"/>
      <c r="W688" s="66"/>
    </row>
    <row r="689" spans="6:23" ht="12.75" customHeight="1">
      <c r="F689" s="66"/>
      <c r="G689" s="66"/>
      <c r="H689" s="66"/>
      <c r="I689" s="66"/>
      <c r="J689" s="376"/>
      <c r="Q689" s="66"/>
      <c r="R689" s="66"/>
      <c r="V689" s="66"/>
      <c r="W689" s="66"/>
    </row>
    <row r="690" spans="6:23" ht="12.75" customHeight="1">
      <c r="F690" s="66"/>
      <c r="G690" s="66"/>
      <c r="H690" s="66"/>
      <c r="I690" s="66"/>
      <c r="J690" s="376"/>
      <c r="Q690" s="66"/>
      <c r="R690" s="66"/>
      <c r="V690" s="66"/>
      <c r="W690" s="66"/>
    </row>
    <row r="691" spans="6:23" ht="12.75" customHeight="1">
      <c r="F691" s="66"/>
      <c r="G691" s="66"/>
      <c r="H691" s="66"/>
      <c r="I691" s="66"/>
      <c r="J691" s="376"/>
      <c r="Q691" s="66"/>
      <c r="R691" s="66"/>
      <c r="V691" s="66"/>
      <c r="W691" s="66"/>
    </row>
    <row r="692" spans="6:23" ht="12.75" customHeight="1">
      <c r="F692" s="66"/>
      <c r="G692" s="66"/>
      <c r="H692" s="66"/>
      <c r="I692" s="66"/>
      <c r="J692" s="376"/>
      <c r="Q692" s="66"/>
      <c r="R692" s="66"/>
      <c r="V692" s="66"/>
      <c r="W692" s="66"/>
    </row>
    <row r="693" spans="6:23" ht="12.75" customHeight="1">
      <c r="F693" s="66"/>
      <c r="G693" s="66"/>
      <c r="H693" s="66"/>
      <c r="I693" s="66"/>
      <c r="J693" s="376"/>
      <c r="Q693" s="66"/>
      <c r="R693" s="66"/>
      <c r="V693" s="66"/>
      <c r="W693" s="66"/>
    </row>
    <row r="694" spans="6:23" ht="12.75" customHeight="1">
      <c r="F694" s="66"/>
      <c r="G694" s="66"/>
      <c r="H694" s="66"/>
      <c r="I694" s="66"/>
      <c r="J694" s="376"/>
      <c r="Q694" s="66"/>
      <c r="R694" s="66"/>
      <c r="V694" s="66"/>
      <c r="W694" s="66"/>
    </row>
    <row r="695" spans="6:23" ht="12.75" customHeight="1">
      <c r="F695" s="66"/>
      <c r="G695" s="66"/>
      <c r="H695" s="66"/>
      <c r="I695" s="66"/>
      <c r="J695" s="376"/>
      <c r="Q695" s="66"/>
      <c r="R695" s="66"/>
      <c r="V695" s="66"/>
      <c r="W695" s="66"/>
    </row>
    <row r="696" spans="6:23" ht="12.75" customHeight="1">
      <c r="F696" s="66"/>
      <c r="G696" s="66"/>
      <c r="H696" s="66"/>
      <c r="I696" s="66"/>
      <c r="J696" s="376"/>
      <c r="Q696" s="66"/>
      <c r="R696" s="66"/>
      <c r="V696" s="66"/>
      <c r="W696" s="66"/>
    </row>
    <row r="697" spans="6:23" ht="12.75" customHeight="1">
      <c r="F697" s="66"/>
      <c r="G697" s="66"/>
      <c r="H697" s="66"/>
      <c r="I697" s="66"/>
      <c r="J697" s="376"/>
      <c r="Q697" s="66"/>
      <c r="R697" s="66"/>
      <c r="V697" s="66"/>
      <c r="W697" s="66"/>
    </row>
    <row r="698" spans="6:23" ht="12.75" customHeight="1">
      <c r="F698" s="66"/>
      <c r="G698" s="66"/>
      <c r="H698" s="66"/>
      <c r="I698" s="66"/>
      <c r="J698" s="376"/>
      <c r="Q698" s="66"/>
      <c r="R698" s="66"/>
      <c r="V698" s="66"/>
      <c r="W698" s="66"/>
    </row>
    <row r="699" spans="6:23" ht="12.75" customHeight="1">
      <c r="F699" s="66"/>
      <c r="G699" s="66"/>
      <c r="H699" s="66"/>
      <c r="I699" s="66"/>
      <c r="J699" s="376"/>
      <c r="Q699" s="66"/>
      <c r="R699" s="66"/>
      <c r="V699" s="66"/>
      <c r="W699" s="66"/>
    </row>
    <row r="700" spans="6:23" ht="12.75" customHeight="1">
      <c r="F700" s="66"/>
      <c r="G700" s="66"/>
      <c r="H700" s="66"/>
      <c r="I700" s="66"/>
      <c r="J700" s="376"/>
      <c r="Q700" s="66"/>
      <c r="R700" s="66"/>
      <c r="V700" s="66"/>
      <c r="W700" s="66"/>
    </row>
    <row r="701" spans="6:23" ht="12.75" customHeight="1">
      <c r="F701" s="66"/>
      <c r="G701" s="66"/>
      <c r="H701" s="66"/>
      <c r="I701" s="66"/>
      <c r="J701" s="376"/>
      <c r="Q701" s="66"/>
      <c r="R701" s="66"/>
      <c r="V701" s="66"/>
      <c r="W701" s="66"/>
    </row>
    <row r="702" spans="6:23" ht="12.75" customHeight="1">
      <c r="F702" s="66"/>
      <c r="G702" s="66"/>
      <c r="H702" s="66"/>
      <c r="I702" s="66"/>
      <c r="J702" s="376"/>
      <c r="Q702" s="66"/>
      <c r="R702" s="66"/>
      <c r="V702" s="66"/>
      <c r="W702" s="66"/>
    </row>
    <row r="703" spans="6:23" ht="12.75" customHeight="1">
      <c r="F703" s="66"/>
      <c r="G703" s="66"/>
      <c r="H703" s="66"/>
      <c r="I703" s="66"/>
      <c r="J703" s="376"/>
      <c r="Q703" s="66"/>
      <c r="R703" s="66"/>
      <c r="V703" s="66"/>
      <c r="W703" s="66"/>
    </row>
    <row r="704" spans="6:23" ht="12.75" customHeight="1">
      <c r="F704" s="66"/>
      <c r="G704" s="66"/>
      <c r="H704" s="66"/>
      <c r="I704" s="66"/>
      <c r="J704" s="376"/>
      <c r="Q704" s="66"/>
      <c r="R704" s="66"/>
      <c r="V704" s="66"/>
      <c r="W704" s="66"/>
    </row>
    <row r="705" spans="6:23" ht="12.75" customHeight="1">
      <c r="F705" s="66"/>
      <c r="G705" s="66"/>
      <c r="H705" s="66"/>
      <c r="I705" s="66"/>
      <c r="J705" s="376"/>
      <c r="Q705" s="66"/>
      <c r="R705" s="66"/>
      <c r="V705" s="66"/>
      <c r="W705" s="66"/>
    </row>
    <row r="706" spans="6:23" ht="12.75" customHeight="1">
      <c r="F706" s="66"/>
      <c r="G706" s="66"/>
      <c r="H706" s="66"/>
      <c r="I706" s="66"/>
      <c r="J706" s="376"/>
      <c r="Q706" s="66"/>
      <c r="R706" s="66"/>
      <c r="V706" s="66"/>
      <c r="W706" s="66"/>
    </row>
    <row r="707" spans="6:23" ht="12.75" customHeight="1">
      <c r="F707" s="66"/>
      <c r="G707" s="66"/>
      <c r="H707" s="66"/>
      <c r="I707" s="66"/>
      <c r="J707" s="376"/>
      <c r="Q707" s="66"/>
      <c r="R707" s="66"/>
      <c r="V707" s="66"/>
      <c r="W707" s="66"/>
    </row>
    <row r="708" spans="6:23" ht="12.75" customHeight="1">
      <c r="F708" s="66"/>
      <c r="G708" s="66"/>
      <c r="H708" s="66"/>
      <c r="I708" s="66"/>
      <c r="J708" s="376"/>
      <c r="Q708" s="66"/>
      <c r="R708" s="66"/>
      <c r="V708" s="66"/>
      <c r="W708" s="66"/>
    </row>
    <row r="709" spans="6:23" ht="12.75" customHeight="1">
      <c r="F709" s="66"/>
      <c r="G709" s="66"/>
      <c r="H709" s="66"/>
      <c r="I709" s="66"/>
      <c r="J709" s="376"/>
      <c r="Q709" s="66"/>
      <c r="R709" s="66"/>
      <c r="V709" s="66"/>
      <c r="W709" s="66"/>
    </row>
    <row r="710" spans="6:23" ht="12.75" customHeight="1">
      <c r="F710" s="66"/>
      <c r="G710" s="66"/>
      <c r="H710" s="66"/>
      <c r="I710" s="66"/>
      <c r="J710" s="376"/>
      <c r="Q710" s="66"/>
      <c r="R710" s="66"/>
      <c r="V710" s="66"/>
      <c r="W710" s="66"/>
    </row>
    <row r="711" spans="6:23" ht="12.75" customHeight="1">
      <c r="F711" s="66"/>
      <c r="G711" s="66"/>
      <c r="H711" s="66"/>
      <c r="I711" s="66"/>
      <c r="J711" s="376"/>
      <c r="Q711" s="66"/>
      <c r="R711" s="66"/>
      <c r="V711" s="66"/>
      <c r="W711" s="66"/>
    </row>
    <row r="712" spans="6:23" ht="12.75" customHeight="1">
      <c r="F712" s="66"/>
      <c r="G712" s="66"/>
      <c r="H712" s="66"/>
      <c r="I712" s="66"/>
      <c r="J712" s="376"/>
      <c r="Q712" s="66"/>
      <c r="R712" s="66"/>
      <c r="V712" s="66"/>
      <c r="W712" s="66"/>
    </row>
    <row r="713" spans="6:23" ht="12.75" customHeight="1">
      <c r="F713" s="66"/>
      <c r="G713" s="66"/>
      <c r="H713" s="66"/>
      <c r="I713" s="66"/>
      <c r="J713" s="376"/>
      <c r="Q713" s="66"/>
      <c r="R713" s="66"/>
      <c r="V713" s="66"/>
      <c r="W713" s="66"/>
    </row>
    <row r="714" spans="6:23" ht="12.75" customHeight="1">
      <c r="F714" s="66"/>
      <c r="G714" s="66"/>
      <c r="H714" s="66"/>
      <c r="I714" s="66"/>
      <c r="J714" s="376"/>
      <c r="Q714" s="66"/>
      <c r="R714" s="66"/>
      <c r="V714" s="66"/>
      <c r="W714" s="66"/>
    </row>
    <row r="715" spans="6:23" ht="12.75" customHeight="1">
      <c r="F715" s="66"/>
      <c r="G715" s="66"/>
      <c r="H715" s="66"/>
      <c r="I715" s="66"/>
      <c r="J715" s="376"/>
      <c r="Q715" s="66"/>
      <c r="R715" s="66"/>
      <c r="V715" s="66"/>
      <c r="W715" s="66"/>
    </row>
    <row r="716" spans="6:23" ht="12.75" customHeight="1">
      <c r="F716" s="66"/>
      <c r="G716" s="66"/>
      <c r="H716" s="66"/>
      <c r="I716" s="66"/>
      <c r="J716" s="376"/>
      <c r="Q716" s="66"/>
      <c r="R716" s="66"/>
      <c r="V716" s="66"/>
      <c r="W716" s="66"/>
    </row>
    <row r="717" spans="6:23" ht="12.75" customHeight="1">
      <c r="F717" s="66"/>
      <c r="G717" s="66"/>
      <c r="H717" s="66"/>
      <c r="I717" s="66"/>
      <c r="J717" s="376"/>
      <c r="Q717" s="66"/>
      <c r="R717" s="66"/>
      <c r="V717" s="66"/>
      <c r="W717" s="66"/>
    </row>
    <row r="718" spans="6:23" ht="12.75" customHeight="1">
      <c r="F718" s="66"/>
      <c r="G718" s="66"/>
      <c r="H718" s="66"/>
      <c r="I718" s="66"/>
      <c r="J718" s="376"/>
      <c r="Q718" s="66"/>
      <c r="R718" s="66"/>
      <c r="V718" s="66"/>
      <c r="W718" s="66"/>
    </row>
    <row r="719" spans="6:23" ht="12.75" customHeight="1">
      <c r="F719" s="66"/>
      <c r="G719" s="66"/>
      <c r="H719" s="66"/>
      <c r="I719" s="66"/>
      <c r="J719" s="376"/>
      <c r="Q719" s="66"/>
      <c r="R719" s="66"/>
      <c r="V719" s="66"/>
      <c r="W719" s="66"/>
    </row>
    <row r="720" spans="6:23" ht="12.75" customHeight="1">
      <c r="F720" s="66"/>
      <c r="G720" s="66"/>
      <c r="H720" s="66"/>
      <c r="I720" s="66"/>
      <c r="J720" s="376"/>
      <c r="Q720" s="66"/>
      <c r="R720" s="66"/>
      <c r="V720" s="66"/>
      <c r="W720" s="66"/>
    </row>
    <row r="721" spans="6:23" ht="12.75" customHeight="1">
      <c r="F721" s="66"/>
      <c r="G721" s="66"/>
      <c r="H721" s="66"/>
      <c r="I721" s="66"/>
      <c r="J721" s="376"/>
      <c r="Q721" s="66"/>
      <c r="R721" s="66"/>
      <c r="V721" s="66"/>
      <c r="W721" s="66"/>
    </row>
    <row r="722" spans="6:23" ht="12.75" customHeight="1">
      <c r="F722" s="66"/>
      <c r="G722" s="66"/>
      <c r="H722" s="66"/>
      <c r="I722" s="66"/>
      <c r="J722" s="376"/>
      <c r="Q722" s="66"/>
      <c r="R722" s="66"/>
      <c r="V722" s="66"/>
      <c r="W722" s="66"/>
    </row>
    <row r="723" spans="6:23" ht="12.75" customHeight="1">
      <c r="F723" s="66"/>
      <c r="G723" s="66"/>
      <c r="H723" s="66"/>
      <c r="I723" s="66"/>
      <c r="J723" s="376"/>
      <c r="Q723" s="66"/>
      <c r="R723" s="66"/>
      <c r="V723" s="66"/>
      <c r="W723" s="66"/>
    </row>
    <row r="724" spans="6:23" ht="12.75" customHeight="1">
      <c r="F724" s="66"/>
      <c r="G724" s="66"/>
      <c r="H724" s="66"/>
      <c r="I724" s="66"/>
      <c r="J724" s="376"/>
      <c r="Q724" s="66"/>
      <c r="R724" s="66"/>
      <c r="V724" s="66"/>
      <c r="W724" s="66"/>
    </row>
    <row r="725" spans="6:23" ht="12.75" customHeight="1">
      <c r="F725" s="66"/>
      <c r="G725" s="66"/>
      <c r="H725" s="66"/>
      <c r="I725" s="66"/>
      <c r="J725" s="376"/>
      <c r="Q725" s="66"/>
      <c r="R725" s="66"/>
      <c r="V725" s="66"/>
      <c r="W725" s="66"/>
    </row>
    <row r="726" spans="6:23" ht="12.75" customHeight="1">
      <c r="F726" s="66"/>
      <c r="G726" s="66"/>
      <c r="H726" s="66"/>
      <c r="I726" s="66"/>
      <c r="J726" s="376"/>
      <c r="Q726" s="66"/>
      <c r="R726" s="66"/>
      <c r="V726" s="66"/>
      <c r="W726" s="66"/>
    </row>
    <row r="727" spans="6:23" ht="12.75" customHeight="1">
      <c r="F727" s="66"/>
      <c r="G727" s="66"/>
      <c r="H727" s="66"/>
      <c r="I727" s="66"/>
      <c r="J727" s="376"/>
      <c r="Q727" s="66"/>
      <c r="R727" s="66"/>
      <c r="V727" s="66"/>
      <c r="W727" s="66"/>
    </row>
    <row r="728" spans="6:23" ht="12.75" customHeight="1">
      <c r="F728" s="66"/>
      <c r="G728" s="66"/>
      <c r="H728" s="66"/>
      <c r="I728" s="66"/>
      <c r="J728" s="376"/>
      <c r="Q728" s="66"/>
      <c r="R728" s="66"/>
      <c r="V728" s="66"/>
      <c r="W728" s="66"/>
    </row>
    <row r="729" spans="6:23" ht="12.75" customHeight="1">
      <c r="F729" s="66"/>
      <c r="G729" s="66"/>
      <c r="H729" s="66"/>
      <c r="I729" s="66"/>
      <c r="J729" s="376"/>
      <c r="Q729" s="66"/>
      <c r="R729" s="66"/>
      <c r="V729" s="66"/>
      <c r="W729" s="66"/>
    </row>
    <row r="730" spans="6:23" ht="12.75" customHeight="1">
      <c r="F730" s="66"/>
      <c r="G730" s="66"/>
      <c r="H730" s="66"/>
      <c r="I730" s="66"/>
      <c r="J730" s="376"/>
      <c r="Q730" s="66"/>
      <c r="R730" s="66"/>
      <c r="V730" s="66"/>
      <c r="W730" s="66"/>
    </row>
    <row r="731" spans="6:23" ht="12.75" customHeight="1">
      <c r="F731" s="66"/>
      <c r="G731" s="66"/>
      <c r="H731" s="66"/>
      <c r="I731" s="66"/>
      <c r="J731" s="376"/>
      <c r="Q731" s="66"/>
      <c r="R731" s="66"/>
      <c r="V731" s="66"/>
      <c r="W731" s="66"/>
    </row>
    <row r="732" spans="6:23" ht="12.75" customHeight="1">
      <c r="F732" s="66"/>
      <c r="G732" s="66"/>
      <c r="H732" s="66"/>
      <c r="I732" s="66"/>
      <c r="J732" s="376"/>
      <c r="Q732" s="66"/>
      <c r="R732" s="66"/>
      <c r="V732" s="66"/>
      <c r="W732" s="66"/>
    </row>
    <row r="733" spans="6:23" ht="12.75" customHeight="1">
      <c r="F733" s="66"/>
      <c r="G733" s="66"/>
      <c r="H733" s="66"/>
      <c r="I733" s="66"/>
      <c r="J733" s="376"/>
      <c r="Q733" s="66"/>
      <c r="R733" s="66"/>
      <c r="V733" s="66"/>
      <c r="W733" s="66"/>
    </row>
    <row r="734" spans="6:23" ht="12.75" customHeight="1">
      <c r="F734" s="66"/>
      <c r="G734" s="66"/>
      <c r="H734" s="66"/>
      <c r="I734" s="66"/>
      <c r="J734" s="376"/>
      <c r="Q734" s="66"/>
      <c r="R734" s="66"/>
      <c r="V734" s="66"/>
      <c r="W734" s="66"/>
    </row>
    <row r="735" spans="6:23" ht="12.75" customHeight="1">
      <c r="F735" s="66"/>
      <c r="G735" s="66"/>
      <c r="H735" s="66"/>
      <c r="I735" s="66"/>
      <c r="J735" s="376"/>
      <c r="Q735" s="66"/>
      <c r="R735" s="66"/>
      <c r="V735" s="66"/>
      <c r="W735" s="66"/>
    </row>
    <row r="736" spans="6:23" ht="12.75" customHeight="1">
      <c r="F736" s="66"/>
      <c r="G736" s="66"/>
      <c r="H736" s="66"/>
      <c r="I736" s="66"/>
      <c r="J736" s="376"/>
      <c r="Q736" s="66"/>
      <c r="R736" s="66"/>
      <c r="V736" s="66"/>
      <c r="W736" s="66"/>
    </row>
    <row r="737" spans="6:23" ht="12.75" customHeight="1">
      <c r="F737" s="66"/>
      <c r="G737" s="66"/>
      <c r="H737" s="66"/>
      <c r="I737" s="66"/>
      <c r="J737" s="376"/>
      <c r="Q737" s="66"/>
      <c r="R737" s="66"/>
      <c r="V737" s="66"/>
      <c r="W737" s="66"/>
    </row>
    <row r="738" spans="6:23" ht="12.75" customHeight="1">
      <c r="F738" s="66"/>
      <c r="G738" s="66"/>
      <c r="H738" s="66"/>
      <c r="I738" s="66"/>
      <c r="J738" s="376"/>
      <c r="Q738" s="66"/>
      <c r="R738" s="66"/>
      <c r="V738" s="66"/>
      <c r="W738" s="66"/>
    </row>
    <row r="739" spans="6:23" ht="12.75" customHeight="1">
      <c r="F739" s="66"/>
      <c r="G739" s="66"/>
      <c r="H739" s="66"/>
      <c r="I739" s="66"/>
      <c r="J739" s="376"/>
      <c r="Q739" s="66"/>
      <c r="R739" s="66"/>
      <c r="V739" s="66"/>
      <c r="W739" s="66"/>
    </row>
    <row r="740" spans="6:23" ht="12.75" customHeight="1">
      <c r="F740" s="66"/>
      <c r="G740" s="66"/>
      <c r="H740" s="66"/>
      <c r="I740" s="66"/>
      <c r="J740" s="376"/>
      <c r="Q740" s="66"/>
      <c r="R740" s="66"/>
      <c r="V740" s="66"/>
      <c r="W740" s="66"/>
    </row>
    <row r="741" spans="6:23" ht="12.75" customHeight="1">
      <c r="F741" s="66"/>
      <c r="G741" s="66"/>
      <c r="H741" s="66"/>
      <c r="I741" s="66"/>
      <c r="J741" s="376"/>
      <c r="Q741" s="66"/>
      <c r="R741" s="66"/>
      <c r="V741" s="66"/>
      <c r="W741" s="66"/>
    </row>
    <row r="742" spans="6:23" ht="12.75" customHeight="1">
      <c r="F742" s="66"/>
      <c r="G742" s="66"/>
      <c r="H742" s="66"/>
      <c r="I742" s="66"/>
      <c r="J742" s="376"/>
      <c r="Q742" s="66"/>
      <c r="R742" s="66"/>
      <c r="V742" s="66"/>
      <c r="W742" s="66"/>
    </row>
    <row r="743" spans="6:23" ht="12.75" customHeight="1">
      <c r="F743" s="66"/>
      <c r="G743" s="66"/>
      <c r="H743" s="66"/>
      <c r="I743" s="66"/>
      <c r="J743" s="376"/>
      <c r="Q743" s="66"/>
      <c r="R743" s="66"/>
      <c r="V743" s="66"/>
      <c r="W743" s="66"/>
    </row>
    <row r="744" spans="6:23" ht="12.75" customHeight="1">
      <c r="F744" s="66"/>
      <c r="G744" s="66"/>
      <c r="H744" s="66"/>
      <c r="I744" s="66"/>
      <c r="J744" s="376"/>
      <c r="Q744" s="66"/>
      <c r="R744" s="66"/>
      <c r="V744" s="66"/>
      <c r="W744" s="66"/>
    </row>
    <row r="745" spans="6:23" ht="12.75" customHeight="1">
      <c r="F745" s="66"/>
      <c r="G745" s="66"/>
      <c r="H745" s="66"/>
      <c r="I745" s="66"/>
      <c r="J745" s="376"/>
      <c r="Q745" s="66"/>
      <c r="R745" s="66"/>
      <c r="V745" s="66"/>
      <c r="W745" s="66"/>
    </row>
    <row r="746" spans="6:23" ht="12.75" customHeight="1">
      <c r="F746" s="66"/>
      <c r="G746" s="66"/>
      <c r="H746" s="66"/>
      <c r="I746" s="66"/>
      <c r="J746" s="376"/>
      <c r="Q746" s="66"/>
      <c r="R746" s="66"/>
      <c r="V746" s="66"/>
      <c r="W746" s="66"/>
    </row>
    <row r="747" spans="6:23" ht="12.75" customHeight="1">
      <c r="F747" s="66"/>
      <c r="G747" s="66"/>
      <c r="H747" s="66"/>
      <c r="I747" s="66"/>
      <c r="J747" s="376"/>
      <c r="Q747" s="66"/>
      <c r="R747" s="66"/>
      <c r="V747" s="66"/>
      <c r="W747" s="66"/>
    </row>
    <row r="748" spans="6:23" ht="12.75" customHeight="1">
      <c r="F748" s="66"/>
      <c r="G748" s="66"/>
      <c r="H748" s="66"/>
      <c r="I748" s="66"/>
      <c r="J748" s="376"/>
      <c r="Q748" s="66"/>
      <c r="R748" s="66"/>
      <c r="V748" s="66"/>
      <c r="W748" s="66"/>
    </row>
    <row r="749" spans="6:23" ht="12.75" customHeight="1">
      <c r="F749" s="66"/>
      <c r="G749" s="66"/>
      <c r="H749" s="66"/>
      <c r="I749" s="66"/>
      <c r="J749" s="376"/>
      <c r="Q749" s="66"/>
      <c r="R749" s="66"/>
      <c r="V749" s="66"/>
      <c r="W749" s="66"/>
    </row>
    <row r="750" spans="6:23" ht="12.75" customHeight="1">
      <c r="F750" s="66"/>
      <c r="G750" s="66"/>
      <c r="H750" s="66"/>
      <c r="I750" s="66"/>
      <c r="J750" s="376"/>
      <c r="Q750" s="66"/>
      <c r="R750" s="66"/>
      <c r="V750" s="66"/>
      <c r="W750" s="66"/>
    </row>
    <row r="751" spans="6:23" ht="12.75" customHeight="1">
      <c r="F751" s="66"/>
      <c r="G751" s="66"/>
      <c r="H751" s="66"/>
      <c r="I751" s="66"/>
      <c r="J751" s="376"/>
      <c r="Q751" s="66"/>
      <c r="R751" s="66"/>
      <c r="V751" s="66"/>
      <c r="W751" s="66"/>
    </row>
    <row r="752" spans="6:23" ht="12.75" customHeight="1">
      <c r="F752" s="66"/>
      <c r="G752" s="66"/>
      <c r="H752" s="66"/>
      <c r="I752" s="66"/>
      <c r="J752" s="376"/>
      <c r="Q752" s="66"/>
      <c r="R752" s="66"/>
      <c r="V752" s="66"/>
      <c r="W752" s="66"/>
    </row>
    <row r="753" spans="6:23" ht="12.75" customHeight="1">
      <c r="F753" s="66"/>
      <c r="G753" s="66"/>
      <c r="H753" s="66"/>
      <c r="I753" s="66"/>
      <c r="J753" s="376"/>
      <c r="Q753" s="66"/>
      <c r="R753" s="66"/>
      <c r="V753" s="66"/>
      <c r="W753" s="66"/>
    </row>
    <row r="754" spans="6:23" ht="12.75" customHeight="1">
      <c r="F754" s="66"/>
      <c r="G754" s="66"/>
      <c r="H754" s="66"/>
      <c r="I754" s="66"/>
      <c r="J754" s="376"/>
      <c r="Q754" s="66"/>
      <c r="R754" s="66"/>
      <c r="V754" s="66"/>
      <c r="W754" s="66"/>
    </row>
    <row r="755" spans="6:23" ht="12.75" customHeight="1">
      <c r="F755" s="66"/>
      <c r="G755" s="66"/>
      <c r="H755" s="66"/>
      <c r="I755" s="66"/>
      <c r="J755" s="376"/>
      <c r="Q755" s="66"/>
      <c r="R755" s="66"/>
      <c r="V755" s="66"/>
      <c r="W755" s="66"/>
    </row>
    <row r="756" spans="6:23" ht="12.75" customHeight="1">
      <c r="F756" s="66"/>
      <c r="G756" s="66"/>
      <c r="H756" s="66"/>
      <c r="I756" s="66"/>
      <c r="J756" s="376"/>
      <c r="Q756" s="66"/>
      <c r="R756" s="66"/>
      <c r="V756" s="66"/>
      <c r="W756" s="66"/>
    </row>
    <row r="757" spans="6:23" ht="12.75" customHeight="1">
      <c r="F757" s="66"/>
      <c r="G757" s="66"/>
      <c r="H757" s="66"/>
      <c r="I757" s="66"/>
      <c r="J757" s="376"/>
      <c r="Q757" s="66"/>
      <c r="R757" s="66"/>
      <c r="V757" s="66"/>
      <c r="W757" s="66"/>
    </row>
    <row r="758" spans="6:23" ht="12.75" customHeight="1">
      <c r="F758" s="66"/>
      <c r="G758" s="66"/>
      <c r="H758" s="66"/>
      <c r="I758" s="66"/>
      <c r="J758" s="376"/>
      <c r="Q758" s="66"/>
      <c r="R758" s="66"/>
      <c r="V758" s="66"/>
      <c r="W758" s="66"/>
    </row>
    <row r="759" spans="6:23" ht="12.75" customHeight="1">
      <c r="F759" s="66"/>
      <c r="G759" s="66"/>
      <c r="H759" s="66"/>
      <c r="I759" s="66"/>
      <c r="J759" s="376"/>
      <c r="Q759" s="66"/>
      <c r="R759" s="66"/>
      <c r="V759" s="66"/>
      <c r="W759" s="66"/>
    </row>
    <row r="760" spans="6:23" ht="12.75" customHeight="1">
      <c r="F760" s="66"/>
      <c r="G760" s="66"/>
      <c r="H760" s="66"/>
      <c r="I760" s="66"/>
      <c r="J760" s="376"/>
      <c r="Q760" s="66"/>
      <c r="R760" s="66"/>
      <c r="V760" s="66"/>
      <c r="W760" s="66"/>
    </row>
    <row r="761" spans="6:23" ht="12.75" customHeight="1">
      <c r="F761" s="66"/>
      <c r="G761" s="66"/>
      <c r="H761" s="66"/>
      <c r="I761" s="66"/>
      <c r="J761" s="376"/>
      <c r="Q761" s="66"/>
      <c r="R761" s="66"/>
      <c r="V761" s="66"/>
      <c r="W761" s="66"/>
    </row>
    <row r="762" spans="6:23" ht="12.75" customHeight="1">
      <c r="F762" s="66"/>
      <c r="G762" s="66"/>
      <c r="H762" s="66"/>
      <c r="I762" s="66"/>
      <c r="J762" s="376"/>
      <c r="Q762" s="66"/>
      <c r="R762" s="66"/>
      <c r="V762" s="66"/>
      <c r="W762" s="66"/>
    </row>
    <row r="763" spans="6:23" ht="12.75" customHeight="1">
      <c r="F763" s="66"/>
      <c r="G763" s="66"/>
      <c r="H763" s="66"/>
      <c r="I763" s="66"/>
      <c r="J763" s="376"/>
      <c r="Q763" s="66"/>
      <c r="R763" s="66"/>
      <c r="V763" s="66"/>
      <c r="W763" s="66"/>
    </row>
    <row r="764" spans="6:23" ht="12.75" customHeight="1">
      <c r="F764" s="66"/>
      <c r="G764" s="66"/>
      <c r="H764" s="66"/>
      <c r="I764" s="66"/>
      <c r="J764" s="376"/>
      <c r="Q764" s="66"/>
      <c r="R764" s="66"/>
      <c r="V764" s="66"/>
      <c r="W764" s="66"/>
    </row>
    <row r="765" spans="6:23" ht="12.75" customHeight="1">
      <c r="F765" s="66"/>
      <c r="G765" s="66"/>
      <c r="H765" s="66"/>
      <c r="I765" s="66"/>
      <c r="J765" s="376"/>
      <c r="Q765" s="66"/>
      <c r="R765" s="66"/>
      <c r="V765" s="66"/>
      <c r="W765" s="66"/>
    </row>
    <row r="766" spans="6:23" ht="12.75" customHeight="1">
      <c r="F766" s="66"/>
      <c r="G766" s="66"/>
      <c r="H766" s="66"/>
      <c r="I766" s="66"/>
      <c r="J766" s="376"/>
      <c r="Q766" s="66"/>
      <c r="R766" s="66"/>
      <c r="V766" s="66"/>
      <c r="W766" s="66"/>
    </row>
    <row r="767" spans="6:23" ht="12.75" customHeight="1">
      <c r="F767" s="66"/>
      <c r="G767" s="66"/>
      <c r="H767" s="66"/>
      <c r="I767" s="66"/>
      <c r="J767" s="376"/>
      <c r="Q767" s="66"/>
      <c r="R767" s="66"/>
      <c r="V767" s="66"/>
      <c r="W767" s="66"/>
    </row>
    <row r="768" spans="6:23" ht="12.75" customHeight="1">
      <c r="F768" s="66"/>
      <c r="G768" s="66"/>
      <c r="H768" s="66"/>
      <c r="I768" s="66"/>
      <c r="J768" s="376"/>
      <c r="Q768" s="66"/>
      <c r="R768" s="66"/>
      <c r="V768" s="66"/>
      <c r="W768" s="66"/>
    </row>
    <row r="769" spans="6:23" ht="12.75" customHeight="1">
      <c r="F769" s="66"/>
      <c r="G769" s="66"/>
      <c r="H769" s="66"/>
      <c r="I769" s="66"/>
      <c r="J769" s="376"/>
      <c r="Q769" s="66"/>
      <c r="R769" s="66"/>
      <c r="V769" s="66"/>
      <c r="W769" s="66"/>
    </row>
    <row r="770" spans="6:23" ht="12.75" customHeight="1">
      <c r="F770" s="66"/>
      <c r="G770" s="66"/>
      <c r="H770" s="66"/>
      <c r="I770" s="66"/>
      <c r="J770" s="376"/>
      <c r="Q770" s="66"/>
      <c r="R770" s="66"/>
      <c r="V770" s="66"/>
      <c r="W770" s="66"/>
    </row>
    <row r="771" spans="6:23" ht="12.75" customHeight="1">
      <c r="F771" s="66"/>
      <c r="G771" s="66"/>
      <c r="H771" s="66"/>
      <c r="I771" s="66"/>
      <c r="J771" s="376"/>
      <c r="Q771" s="66"/>
      <c r="R771" s="66"/>
      <c r="V771" s="66"/>
      <c r="W771" s="66"/>
    </row>
    <row r="772" spans="6:23" ht="12.75" customHeight="1">
      <c r="F772" s="66"/>
      <c r="G772" s="66"/>
      <c r="H772" s="66"/>
      <c r="I772" s="66"/>
      <c r="J772" s="376"/>
      <c r="Q772" s="66"/>
      <c r="R772" s="66"/>
      <c r="V772" s="66"/>
      <c r="W772" s="66"/>
    </row>
    <row r="773" spans="6:23" ht="12.75" customHeight="1">
      <c r="F773" s="66"/>
      <c r="G773" s="66"/>
      <c r="H773" s="66"/>
      <c r="I773" s="66"/>
      <c r="J773" s="376"/>
      <c r="Q773" s="66"/>
      <c r="R773" s="66"/>
      <c r="V773" s="66"/>
      <c r="W773" s="66"/>
    </row>
    <row r="774" spans="6:23" ht="12.75" customHeight="1">
      <c r="F774" s="66"/>
      <c r="G774" s="66"/>
      <c r="H774" s="66"/>
      <c r="I774" s="66"/>
      <c r="J774" s="376"/>
      <c r="Q774" s="66"/>
      <c r="R774" s="66"/>
      <c r="V774" s="66"/>
      <c r="W774" s="66"/>
    </row>
    <row r="775" spans="6:23" ht="12.75" customHeight="1">
      <c r="F775" s="66"/>
      <c r="G775" s="66"/>
      <c r="H775" s="66"/>
      <c r="I775" s="66"/>
      <c r="J775" s="376"/>
      <c r="Q775" s="66"/>
      <c r="R775" s="66"/>
      <c r="V775" s="66"/>
      <c r="W775" s="66"/>
    </row>
    <row r="776" spans="6:23" ht="12.75" customHeight="1">
      <c r="F776" s="66"/>
      <c r="G776" s="66"/>
      <c r="H776" s="66"/>
      <c r="I776" s="66"/>
      <c r="J776" s="376"/>
      <c r="Q776" s="66"/>
      <c r="R776" s="66"/>
      <c r="V776" s="66"/>
      <c r="W776" s="66"/>
    </row>
    <row r="777" spans="6:23" ht="12.75" customHeight="1">
      <c r="F777" s="66"/>
      <c r="G777" s="66"/>
      <c r="H777" s="66"/>
      <c r="I777" s="66"/>
      <c r="J777" s="376"/>
      <c r="Q777" s="66"/>
      <c r="R777" s="66"/>
      <c r="V777" s="66"/>
      <c r="W777" s="66"/>
    </row>
    <row r="778" spans="6:23" ht="12.75" customHeight="1">
      <c r="F778" s="66"/>
      <c r="G778" s="66"/>
      <c r="H778" s="66"/>
      <c r="I778" s="66"/>
      <c r="J778" s="376"/>
      <c r="Q778" s="66"/>
      <c r="R778" s="66"/>
      <c r="V778" s="66"/>
      <c r="W778" s="66"/>
    </row>
    <row r="779" spans="6:23" ht="12.75" customHeight="1">
      <c r="F779" s="66"/>
      <c r="G779" s="66"/>
      <c r="H779" s="66"/>
      <c r="I779" s="66"/>
      <c r="J779" s="376"/>
      <c r="Q779" s="66"/>
      <c r="R779" s="66"/>
      <c r="V779" s="66"/>
      <c r="W779" s="66"/>
    </row>
    <row r="780" spans="6:23" ht="12.75" customHeight="1">
      <c r="F780" s="66"/>
      <c r="G780" s="66"/>
      <c r="H780" s="66"/>
      <c r="I780" s="66"/>
      <c r="J780" s="376"/>
      <c r="Q780" s="66"/>
      <c r="R780" s="66"/>
      <c r="V780" s="66"/>
      <c r="W780" s="66"/>
    </row>
    <row r="781" spans="6:23" ht="12.75" customHeight="1">
      <c r="F781" s="66"/>
      <c r="G781" s="66"/>
      <c r="H781" s="66"/>
      <c r="I781" s="66"/>
      <c r="J781" s="376"/>
      <c r="Q781" s="66"/>
      <c r="R781" s="66"/>
      <c r="V781" s="66"/>
      <c r="W781" s="66"/>
    </row>
    <row r="782" spans="6:23" ht="12.75" customHeight="1">
      <c r="F782" s="66"/>
      <c r="G782" s="66"/>
      <c r="H782" s="66"/>
      <c r="I782" s="66"/>
      <c r="J782" s="376"/>
      <c r="Q782" s="66"/>
      <c r="R782" s="66"/>
      <c r="V782" s="66"/>
      <c r="W782" s="66"/>
    </row>
    <row r="783" spans="6:23" ht="12.75" customHeight="1">
      <c r="F783" s="66"/>
      <c r="G783" s="66"/>
      <c r="H783" s="66"/>
      <c r="I783" s="66"/>
      <c r="J783" s="376"/>
      <c r="Q783" s="66"/>
      <c r="R783" s="66"/>
      <c r="V783" s="66"/>
      <c r="W783" s="66"/>
    </row>
    <row r="784" spans="6:23" ht="12.75" customHeight="1">
      <c r="F784" s="66"/>
      <c r="G784" s="66"/>
      <c r="H784" s="66"/>
      <c r="I784" s="66"/>
      <c r="J784" s="376"/>
      <c r="Q784" s="66"/>
      <c r="R784" s="66"/>
      <c r="V784" s="66"/>
      <c r="W784" s="66"/>
    </row>
    <row r="785" spans="6:23" ht="12.75" customHeight="1">
      <c r="F785" s="66"/>
      <c r="G785" s="66"/>
      <c r="H785" s="66"/>
      <c r="I785" s="66"/>
      <c r="J785" s="376"/>
      <c r="Q785" s="66"/>
      <c r="R785" s="66"/>
      <c r="V785" s="66"/>
      <c r="W785" s="66"/>
    </row>
    <row r="786" spans="6:23" ht="12.75" customHeight="1">
      <c r="F786" s="66"/>
      <c r="G786" s="66"/>
      <c r="H786" s="66"/>
      <c r="I786" s="66"/>
      <c r="J786" s="376"/>
      <c r="Q786" s="66"/>
      <c r="R786" s="66"/>
      <c r="V786" s="66"/>
      <c r="W786" s="66"/>
    </row>
    <row r="787" spans="6:23" ht="12.75" customHeight="1">
      <c r="F787" s="66"/>
      <c r="G787" s="66"/>
      <c r="H787" s="66"/>
      <c r="I787" s="66"/>
      <c r="J787" s="376"/>
      <c r="Q787" s="66"/>
      <c r="R787" s="66"/>
      <c r="V787" s="66"/>
      <c r="W787" s="66"/>
    </row>
    <row r="788" spans="6:23" ht="12.75" customHeight="1">
      <c r="F788" s="66"/>
      <c r="G788" s="66"/>
      <c r="H788" s="66"/>
      <c r="I788" s="66"/>
      <c r="J788" s="376"/>
      <c r="Q788" s="66"/>
      <c r="R788" s="66"/>
      <c r="V788" s="66"/>
      <c r="W788" s="66"/>
    </row>
    <row r="789" spans="6:23" ht="12.75" customHeight="1">
      <c r="F789" s="66"/>
      <c r="G789" s="66"/>
      <c r="H789" s="66"/>
      <c r="I789" s="66"/>
      <c r="J789" s="376"/>
      <c r="Q789" s="66"/>
      <c r="R789" s="66"/>
      <c r="V789" s="66"/>
      <c r="W789" s="66"/>
    </row>
    <row r="790" spans="6:23" ht="12.75" customHeight="1">
      <c r="F790" s="66"/>
      <c r="G790" s="66"/>
      <c r="H790" s="66"/>
      <c r="I790" s="66"/>
      <c r="J790" s="376"/>
      <c r="Q790" s="66"/>
      <c r="R790" s="66"/>
      <c r="V790" s="66"/>
      <c r="W790" s="66"/>
    </row>
    <row r="791" spans="6:23" ht="12.75" customHeight="1">
      <c r="F791" s="66"/>
      <c r="G791" s="66"/>
      <c r="H791" s="66"/>
      <c r="I791" s="66"/>
      <c r="J791" s="376"/>
      <c r="Q791" s="66"/>
      <c r="R791" s="66"/>
      <c r="V791" s="66"/>
      <c r="W791" s="66"/>
    </row>
    <row r="792" spans="6:23" ht="12.75" customHeight="1">
      <c r="F792" s="66"/>
      <c r="G792" s="66"/>
      <c r="H792" s="66"/>
      <c r="I792" s="66"/>
      <c r="J792" s="376"/>
      <c r="Q792" s="66"/>
      <c r="R792" s="66"/>
      <c r="V792" s="66"/>
      <c r="W792" s="66"/>
    </row>
    <row r="793" spans="6:23" ht="12.75" customHeight="1">
      <c r="F793" s="66"/>
      <c r="G793" s="66"/>
      <c r="H793" s="66"/>
      <c r="I793" s="66"/>
      <c r="J793" s="376"/>
      <c r="Q793" s="66"/>
      <c r="R793" s="66"/>
      <c r="V793" s="66"/>
      <c r="W793" s="66"/>
    </row>
    <row r="794" spans="6:23" ht="12.75" customHeight="1">
      <c r="F794" s="66"/>
      <c r="G794" s="66"/>
      <c r="H794" s="66"/>
      <c r="I794" s="66"/>
      <c r="J794" s="376"/>
      <c r="Q794" s="66"/>
      <c r="R794" s="66"/>
      <c r="V794" s="66"/>
      <c r="W794" s="66"/>
    </row>
    <row r="795" spans="6:23" ht="12.75" customHeight="1">
      <c r="F795" s="66"/>
      <c r="G795" s="66"/>
      <c r="H795" s="66"/>
      <c r="I795" s="66"/>
      <c r="J795" s="376"/>
      <c r="Q795" s="66"/>
      <c r="R795" s="66"/>
      <c r="V795" s="66"/>
      <c r="W795" s="66"/>
    </row>
    <row r="796" spans="6:23" ht="12.75" customHeight="1">
      <c r="F796" s="66"/>
      <c r="G796" s="66"/>
      <c r="H796" s="66"/>
      <c r="I796" s="66"/>
      <c r="J796" s="376"/>
      <c r="Q796" s="66"/>
      <c r="R796" s="66"/>
      <c r="V796" s="66"/>
      <c r="W796" s="66"/>
    </row>
    <row r="797" spans="6:23" ht="12.75" customHeight="1">
      <c r="F797" s="66"/>
      <c r="G797" s="66"/>
      <c r="H797" s="66"/>
      <c r="I797" s="66"/>
      <c r="J797" s="376"/>
      <c r="Q797" s="66"/>
      <c r="R797" s="66"/>
      <c r="V797" s="66"/>
      <c r="W797" s="66"/>
    </row>
    <row r="798" spans="6:23" ht="12.75" customHeight="1">
      <c r="F798" s="66"/>
      <c r="G798" s="66"/>
      <c r="H798" s="66"/>
      <c r="I798" s="66"/>
      <c r="J798" s="376"/>
      <c r="Q798" s="66"/>
      <c r="R798" s="66"/>
      <c r="V798" s="66"/>
      <c r="W798" s="66"/>
    </row>
    <row r="799" spans="6:23" ht="12.75" customHeight="1">
      <c r="F799" s="66"/>
      <c r="G799" s="66"/>
      <c r="H799" s="66"/>
      <c r="I799" s="66"/>
      <c r="J799" s="376"/>
      <c r="Q799" s="66"/>
      <c r="R799" s="66"/>
      <c r="V799" s="66"/>
      <c r="W799" s="66"/>
    </row>
    <row r="800" spans="6:23" ht="12.75" customHeight="1">
      <c r="F800" s="66"/>
      <c r="G800" s="66"/>
      <c r="H800" s="66"/>
      <c r="I800" s="66"/>
      <c r="J800" s="376"/>
      <c r="Q800" s="66"/>
      <c r="R800" s="66"/>
      <c r="V800" s="66"/>
      <c r="W800" s="66"/>
    </row>
    <row r="801" spans="6:23" ht="12.75" customHeight="1">
      <c r="F801" s="66"/>
      <c r="G801" s="66"/>
      <c r="H801" s="66"/>
      <c r="I801" s="66"/>
      <c r="J801" s="376"/>
      <c r="Q801" s="66"/>
      <c r="R801" s="66"/>
      <c r="V801" s="66"/>
      <c r="W801" s="66"/>
    </row>
    <row r="802" spans="6:23" ht="12.75" customHeight="1">
      <c r="F802" s="66"/>
      <c r="G802" s="66"/>
      <c r="H802" s="66"/>
      <c r="I802" s="66"/>
      <c r="J802" s="376"/>
      <c r="Q802" s="66"/>
      <c r="R802" s="66"/>
      <c r="V802" s="66"/>
      <c r="W802" s="66"/>
    </row>
    <row r="803" spans="6:23" ht="12.75" customHeight="1">
      <c r="F803" s="66"/>
      <c r="G803" s="66"/>
      <c r="H803" s="66"/>
      <c r="I803" s="66"/>
      <c r="J803" s="376"/>
      <c r="Q803" s="66"/>
      <c r="R803" s="66"/>
      <c r="V803" s="66"/>
      <c r="W803" s="66"/>
    </row>
    <row r="804" spans="6:23" ht="12.75" customHeight="1">
      <c r="F804" s="66"/>
      <c r="G804" s="66"/>
      <c r="H804" s="66"/>
      <c r="I804" s="66"/>
      <c r="J804" s="376"/>
      <c r="Q804" s="66"/>
      <c r="R804" s="66"/>
      <c r="V804" s="66"/>
      <c r="W804" s="66"/>
    </row>
    <row r="805" spans="6:23" ht="12.75" customHeight="1">
      <c r="F805" s="66"/>
      <c r="G805" s="66"/>
      <c r="H805" s="66"/>
      <c r="I805" s="66"/>
      <c r="J805" s="376"/>
      <c r="Q805" s="66"/>
      <c r="R805" s="66"/>
      <c r="V805" s="66"/>
      <c r="W805" s="66"/>
    </row>
    <row r="806" spans="6:23" ht="12.75" customHeight="1">
      <c r="F806" s="66"/>
      <c r="G806" s="66"/>
      <c r="H806" s="66"/>
      <c r="I806" s="66"/>
      <c r="J806" s="376"/>
      <c r="Q806" s="66"/>
      <c r="R806" s="66"/>
      <c r="V806" s="66"/>
      <c r="W806" s="66"/>
    </row>
    <row r="807" spans="6:23" ht="12.75" customHeight="1">
      <c r="F807" s="66"/>
      <c r="G807" s="66"/>
      <c r="H807" s="66"/>
      <c r="I807" s="66"/>
      <c r="J807" s="376"/>
      <c r="Q807" s="66"/>
      <c r="R807" s="66"/>
      <c r="V807" s="66"/>
      <c r="W807" s="66"/>
    </row>
    <row r="808" spans="6:23" ht="12.75" customHeight="1">
      <c r="F808" s="66"/>
      <c r="G808" s="66"/>
      <c r="H808" s="66"/>
      <c r="I808" s="66"/>
      <c r="J808" s="376"/>
      <c r="Q808" s="66"/>
      <c r="R808" s="66"/>
      <c r="V808" s="66"/>
      <c r="W808" s="66"/>
    </row>
    <row r="809" spans="6:23" ht="12.75" customHeight="1">
      <c r="F809" s="66"/>
      <c r="G809" s="66"/>
      <c r="H809" s="66"/>
      <c r="I809" s="66"/>
      <c r="J809" s="376"/>
      <c r="Q809" s="66"/>
      <c r="R809" s="66"/>
      <c r="V809" s="66"/>
      <c r="W809" s="66"/>
    </row>
    <row r="810" spans="6:23" ht="12.75" customHeight="1">
      <c r="F810" s="66"/>
      <c r="G810" s="66"/>
      <c r="H810" s="66"/>
      <c r="I810" s="66"/>
      <c r="J810" s="376"/>
      <c r="Q810" s="66"/>
      <c r="R810" s="66"/>
      <c r="V810" s="66"/>
      <c r="W810" s="66"/>
    </row>
    <row r="811" spans="6:23" ht="12.75" customHeight="1">
      <c r="F811" s="66"/>
      <c r="G811" s="66"/>
      <c r="H811" s="66"/>
      <c r="I811" s="66"/>
      <c r="J811" s="376"/>
      <c r="Q811" s="66"/>
      <c r="R811" s="66"/>
      <c r="V811" s="66"/>
      <c r="W811" s="66"/>
    </row>
    <row r="812" spans="6:23" ht="12.75" customHeight="1">
      <c r="F812" s="66"/>
      <c r="G812" s="66"/>
      <c r="H812" s="66"/>
      <c r="I812" s="66"/>
      <c r="J812" s="376"/>
      <c r="Q812" s="66"/>
      <c r="R812" s="66"/>
      <c r="V812" s="66"/>
      <c r="W812" s="66"/>
    </row>
    <row r="813" spans="6:23" ht="12.75" customHeight="1">
      <c r="F813" s="66"/>
      <c r="G813" s="66"/>
      <c r="H813" s="66"/>
      <c r="I813" s="66"/>
      <c r="J813" s="376"/>
      <c r="Q813" s="66"/>
      <c r="R813" s="66"/>
      <c r="V813" s="66"/>
      <c r="W813" s="66"/>
    </row>
    <row r="814" spans="6:23" ht="12.75" customHeight="1">
      <c r="F814" s="66"/>
      <c r="G814" s="66"/>
      <c r="H814" s="66"/>
      <c r="I814" s="66"/>
      <c r="J814" s="376"/>
      <c r="Q814" s="66"/>
      <c r="R814" s="66"/>
      <c r="V814" s="66"/>
      <c r="W814" s="66"/>
    </row>
    <row r="815" spans="6:23" ht="12.75" customHeight="1">
      <c r="F815" s="66"/>
      <c r="G815" s="66"/>
      <c r="H815" s="66"/>
      <c r="I815" s="66"/>
      <c r="J815" s="376"/>
      <c r="Q815" s="66"/>
      <c r="R815" s="66"/>
      <c r="V815" s="66"/>
      <c r="W815" s="66"/>
    </row>
    <row r="816" spans="6:23" ht="12.75" customHeight="1">
      <c r="F816" s="66"/>
      <c r="G816" s="66"/>
      <c r="H816" s="66"/>
      <c r="I816" s="66"/>
      <c r="J816" s="376"/>
      <c r="Q816" s="66"/>
      <c r="R816" s="66"/>
      <c r="V816" s="66"/>
      <c r="W816" s="66"/>
    </row>
    <row r="817" spans="6:23" ht="12.75" customHeight="1">
      <c r="F817" s="66"/>
      <c r="G817" s="66"/>
      <c r="H817" s="66"/>
      <c r="I817" s="66"/>
      <c r="J817" s="376"/>
      <c r="Q817" s="66"/>
      <c r="R817" s="66"/>
      <c r="V817" s="66"/>
      <c r="W817" s="66"/>
    </row>
    <row r="818" spans="6:23" ht="12.75" customHeight="1">
      <c r="F818" s="66"/>
      <c r="G818" s="66"/>
      <c r="H818" s="66"/>
      <c r="I818" s="66"/>
      <c r="J818" s="376"/>
      <c r="Q818" s="66"/>
      <c r="R818" s="66"/>
      <c r="V818" s="66"/>
      <c r="W818" s="66"/>
    </row>
    <row r="819" spans="6:23" ht="12.75" customHeight="1">
      <c r="F819" s="66"/>
      <c r="G819" s="66"/>
      <c r="H819" s="66"/>
      <c r="I819" s="66"/>
      <c r="J819" s="376"/>
      <c r="Q819" s="66"/>
      <c r="R819" s="66"/>
      <c r="V819" s="66"/>
      <c r="W819" s="66"/>
    </row>
    <row r="820" spans="6:23" ht="12.75" customHeight="1">
      <c r="F820" s="66"/>
      <c r="G820" s="66"/>
      <c r="H820" s="66"/>
      <c r="I820" s="66"/>
      <c r="J820" s="376"/>
      <c r="Q820" s="66"/>
      <c r="R820" s="66"/>
      <c r="V820" s="66"/>
      <c r="W820" s="66"/>
    </row>
    <row r="821" spans="6:23" ht="12.75" customHeight="1">
      <c r="F821" s="66"/>
      <c r="G821" s="66"/>
      <c r="H821" s="66"/>
      <c r="I821" s="66"/>
      <c r="J821" s="376"/>
      <c r="Q821" s="66"/>
      <c r="R821" s="66"/>
      <c r="V821" s="66"/>
      <c r="W821" s="66"/>
    </row>
    <row r="822" spans="6:23" ht="12.75" customHeight="1">
      <c r="F822" s="66"/>
      <c r="G822" s="66"/>
      <c r="H822" s="66"/>
      <c r="I822" s="66"/>
      <c r="J822" s="376"/>
      <c r="Q822" s="66"/>
      <c r="R822" s="66"/>
      <c r="V822" s="66"/>
      <c r="W822" s="66"/>
    </row>
    <row r="823" spans="6:23" ht="12.75" customHeight="1">
      <c r="F823" s="66"/>
      <c r="G823" s="66"/>
      <c r="H823" s="66"/>
      <c r="I823" s="66"/>
      <c r="J823" s="376"/>
      <c r="Q823" s="66"/>
      <c r="R823" s="66"/>
      <c r="V823" s="66"/>
      <c r="W823" s="66"/>
    </row>
    <row r="824" spans="6:23" ht="12.75" customHeight="1">
      <c r="F824" s="66"/>
      <c r="G824" s="66"/>
      <c r="H824" s="66"/>
      <c r="I824" s="66"/>
      <c r="J824" s="376"/>
      <c r="Q824" s="66"/>
      <c r="R824" s="66"/>
      <c r="V824" s="66"/>
      <c r="W824" s="66"/>
    </row>
    <row r="825" spans="6:23" ht="12.75" customHeight="1">
      <c r="F825" s="66"/>
      <c r="G825" s="66"/>
      <c r="H825" s="66"/>
      <c r="I825" s="66"/>
      <c r="J825" s="376"/>
      <c r="Q825" s="66"/>
      <c r="R825" s="66"/>
      <c r="V825" s="66"/>
      <c r="W825" s="66"/>
    </row>
    <row r="826" spans="6:23" ht="12.75" customHeight="1">
      <c r="F826" s="66"/>
      <c r="G826" s="66"/>
      <c r="H826" s="66"/>
      <c r="I826" s="66"/>
      <c r="J826" s="376"/>
      <c r="Q826" s="66"/>
      <c r="R826" s="66"/>
      <c r="V826" s="66"/>
      <c r="W826" s="66"/>
    </row>
    <row r="827" spans="6:23" ht="12.75" customHeight="1">
      <c r="F827" s="66"/>
      <c r="G827" s="66"/>
      <c r="H827" s="66"/>
      <c r="I827" s="66"/>
      <c r="J827" s="376"/>
      <c r="Q827" s="66"/>
      <c r="R827" s="66"/>
      <c r="V827" s="66"/>
      <c r="W827" s="66"/>
    </row>
    <row r="828" spans="6:23" ht="12.75" customHeight="1">
      <c r="F828" s="66"/>
      <c r="G828" s="66"/>
      <c r="H828" s="66"/>
      <c r="I828" s="66"/>
      <c r="J828" s="376"/>
      <c r="Q828" s="66"/>
      <c r="R828" s="66"/>
      <c r="V828" s="66"/>
      <c r="W828" s="66"/>
    </row>
    <row r="829" spans="6:23" ht="12.75" customHeight="1">
      <c r="F829" s="66"/>
      <c r="G829" s="66"/>
      <c r="H829" s="66"/>
      <c r="I829" s="66"/>
      <c r="J829" s="376"/>
      <c r="Q829" s="66"/>
      <c r="R829" s="66"/>
      <c r="V829" s="66"/>
      <c r="W829" s="66"/>
    </row>
    <row r="830" spans="6:23" ht="12.75" customHeight="1">
      <c r="F830" s="66"/>
      <c r="G830" s="66"/>
      <c r="H830" s="66"/>
      <c r="I830" s="66"/>
      <c r="J830" s="376"/>
      <c r="Q830" s="66"/>
      <c r="R830" s="66"/>
      <c r="V830" s="66"/>
      <c r="W830" s="66"/>
    </row>
    <row r="831" spans="6:23" ht="12.75" customHeight="1">
      <c r="F831" s="66"/>
      <c r="G831" s="66"/>
      <c r="H831" s="66"/>
      <c r="I831" s="66"/>
      <c r="J831" s="376"/>
      <c r="Q831" s="66"/>
      <c r="R831" s="66"/>
      <c r="V831" s="66"/>
      <c r="W831" s="66"/>
    </row>
    <row r="832" spans="6:23" ht="12.75" customHeight="1">
      <c r="F832" s="66"/>
      <c r="G832" s="66"/>
      <c r="H832" s="66"/>
      <c r="I832" s="66"/>
      <c r="J832" s="376"/>
      <c r="Q832" s="66"/>
      <c r="R832" s="66"/>
      <c r="V832" s="66"/>
      <c r="W832" s="66"/>
    </row>
    <row r="833" spans="6:23" ht="12.75" customHeight="1">
      <c r="F833" s="66"/>
      <c r="G833" s="66"/>
      <c r="H833" s="66"/>
      <c r="I833" s="66"/>
      <c r="J833" s="376"/>
      <c r="Q833" s="66"/>
      <c r="R833" s="66"/>
      <c r="V833" s="66"/>
      <c r="W833" s="66"/>
    </row>
    <row r="834" spans="6:23" ht="12.75" customHeight="1">
      <c r="F834" s="66"/>
      <c r="G834" s="66"/>
      <c r="H834" s="66"/>
      <c r="I834" s="66"/>
      <c r="J834" s="376"/>
      <c r="Q834" s="66"/>
      <c r="R834" s="66"/>
      <c r="V834" s="66"/>
      <c r="W834" s="66"/>
    </row>
    <row r="835" spans="6:23" ht="12.75" customHeight="1">
      <c r="F835" s="66"/>
      <c r="G835" s="66"/>
      <c r="H835" s="66"/>
      <c r="I835" s="66"/>
      <c r="J835" s="376"/>
      <c r="Q835" s="66"/>
      <c r="R835" s="66"/>
      <c r="V835" s="66"/>
      <c r="W835" s="66"/>
    </row>
    <row r="836" spans="6:23" ht="12.75" customHeight="1">
      <c r="F836" s="66"/>
      <c r="G836" s="66"/>
      <c r="H836" s="66"/>
      <c r="I836" s="66"/>
      <c r="J836" s="376"/>
      <c r="Q836" s="66"/>
      <c r="R836" s="66"/>
      <c r="V836" s="66"/>
      <c r="W836" s="66"/>
    </row>
    <row r="837" spans="6:23" ht="12.75" customHeight="1">
      <c r="F837" s="66"/>
      <c r="G837" s="66"/>
      <c r="H837" s="66"/>
      <c r="I837" s="66"/>
      <c r="J837" s="376"/>
      <c r="Q837" s="66"/>
      <c r="R837" s="66"/>
      <c r="V837" s="66"/>
      <c r="W837" s="66"/>
    </row>
    <row r="838" spans="6:23" ht="12.75" customHeight="1">
      <c r="F838" s="66"/>
      <c r="G838" s="66"/>
      <c r="H838" s="66"/>
      <c r="I838" s="66"/>
      <c r="J838" s="376"/>
      <c r="Q838" s="66"/>
      <c r="R838" s="66"/>
      <c r="V838" s="66"/>
      <c r="W838" s="66"/>
    </row>
    <row r="839" spans="6:23" ht="12.75" customHeight="1">
      <c r="F839" s="66"/>
      <c r="G839" s="66"/>
      <c r="H839" s="66"/>
      <c r="I839" s="66"/>
      <c r="J839" s="376"/>
      <c r="Q839" s="66"/>
      <c r="R839" s="66"/>
      <c r="V839" s="66"/>
      <c r="W839" s="66"/>
    </row>
    <row r="840" spans="6:23" ht="12.75" customHeight="1">
      <c r="F840" s="66"/>
      <c r="G840" s="66"/>
      <c r="H840" s="66"/>
      <c r="I840" s="66"/>
      <c r="J840" s="376"/>
      <c r="Q840" s="66"/>
      <c r="R840" s="66"/>
      <c r="V840" s="66"/>
      <c r="W840" s="66"/>
    </row>
    <row r="841" spans="6:23" ht="12.75" customHeight="1">
      <c r="F841" s="66"/>
      <c r="G841" s="66"/>
      <c r="H841" s="66"/>
      <c r="I841" s="66"/>
      <c r="J841" s="376"/>
      <c r="Q841" s="66"/>
      <c r="R841" s="66"/>
      <c r="V841" s="66"/>
      <c r="W841" s="66"/>
    </row>
    <row r="842" spans="6:23" ht="12.75" customHeight="1">
      <c r="F842" s="66"/>
      <c r="G842" s="66"/>
      <c r="H842" s="66"/>
      <c r="I842" s="66"/>
      <c r="J842" s="376"/>
      <c r="Q842" s="66"/>
      <c r="R842" s="66"/>
      <c r="V842" s="66"/>
      <c r="W842" s="66"/>
    </row>
    <row r="843" spans="6:23" ht="12.75" customHeight="1">
      <c r="F843" s="66"/>
      <c r="G843" s="66"/>
      <c r="H843" s="66"/>
      <c r="I843" s="66"/>
      <c r="J843" s="376"/>
      <c r="Q843" s="66"/>
      <c r="R843" s="66"/>
      <c r="V843" s="66"/>
      <c r="W843" s="66"/>
    </row>
    <row r="844" spans="6:23" ht="12.75" customHeight="1">
      <c r="F844" s="66"/>
      <c r="G844" s="66"/>
      <c r="H844" s="66"/>
      <c r="I844" s="66"/>
      <c r="J844" s="376"/>
      <c r="Q844" s="66"/>
      <c r="R844" s="66"/>
      <c r="V844" s="66"/>
      <c r="W844" s="66"/>
    </row>
    <row r="845" spans="6:23" ht="12.75" customHeight="1">
      <c r="F845" s="66"/>
      <c r="G845" s="66"/>
      <c r="H845" s="66"/>
      <c r="I845" s="66"/>
      <c r="J845" s="376"/>
      <c r="Q845" s="66"/>
      <c r="R845" s="66"/>
      <c r="V845" s="66"/>
      <c r="W845" s="66"/>
    </row>
    <row r="846" spans="6:23" ht="12.75" customHeight="1">
      <c r="F846" s="66"/>
      <c r="G846" s="66"/>
      <c r="H846" s="66"/>
      <c r="I846" s="66"/>
      <c r="J846" s="376"/>
      <c r="Q846" s="66"/>
      <c r="R846" s="66"/>
      <c r="V846" s="66"/>
      <c r="W846" s="66"/>
    </row>
    <row r="847" spans="6:23" ht="12.75" customHeight="1">
      <c r="F847" s="66"/>
      <c r="G847" s="66"/>
      <c r="H847" s="66"/>
      <c r="I847" s="66"/>
      <c r="J847" s="376"/>
      <c r="Q847" s="66"/>
      <c r="R847" s="66"/>
      <c r="V847" s="66"/>
      <c r="W847" s="66"/>
    </row>
    <row r="848" spans="6:23" ht="12.75" customHeight="1">
      <c r="F848" s="66"/>
      <c r="G848" s="66"/>
      <c r="H848" s="66"/>
      <c r="I848" s="66"/>
      <c r="J848" s="376"/>
      <c r="Q848" s="66"/>
      <c r="R848" s="66"/>
      <c r="V848" s="66"/>
      <c r="W848" s="66"/>
    </row>
    <row r="849" spans="6:23" ht="12.75" customHeight="1">
      <c r="F849" s="66"/>
      <c r="G849" s="66"/>
      <c r="H849" s="66"/>
      <c r="I849" s="66"/>
      <c r="J849" s="376"/>
      <c r="Q849" s="66"/>
      <c r="R849" s="66"/>
      <c r="V849" s="66"/>
      <c r="W849" s="66"/>
    </row>
    <row r="850" spans="6:23" ht="12.75" customHeight="1">
      <c r="F850" s="66"/>
      <c r="G850" s="66"/>
      <c r="H850" s="66"/>
      <c r="I850" s="66"/>
      <c r="J850" s="376"/>
      <c r="Q850" s="66"/>
      <c r="R850" s="66"/>
      <c r="V850" s="66"/>
      <c r="W850" s="66"/>
    </row>
    <row r="851" spans="6:23" ht="12.75" customHeight="1">
      <c r="F851" s="66"/>
      <c r="G851" s="66"/>
      <c r="H851" s="66"/>
      <c r="I851" s="66"/>
      <c r="J851" s="376"/>
      <c r="Q851" s="66"/>
      <c r="R851" s="66"/>
      <c r="V851" s="66"/>
      <c r="W851" s="66"/>
    </row>
    <row r="852" spans="6:23" ht="12.75" customHeight="1">
      <c r="F852" s="66"/>
      <c r="G852" s="66"/>
      <c r="H852" s="66"/>
      <c r="I852" s="66"/>
      <c r="J852" s="376"/>
      <c r="Q852" s="66"/>
      <c r="R852" s="66"/>
      <c r="V852" s="66"/>
      <c r="W852" s="66"/>
    </row>
    <row r="853" spans="6:23" ht="12.75" customHeight="1">
      <c r="F853" s="66"/>
      <c r="G853" s="66"/>
      <c r="H853" s="66"/>
      <c r="I853" s="66"/>
      <c r="J853" s="376"/>
      <c r="Q853" s="66"/>
      <c r="R853" s="66"/>
      <c r="V853" s="66"/>
      <c r="W853" s="66"/>
    </row>
    <row r="854" spans="6:23" ht="12.75" customHeight="1">
      <c r="F854" s="66"/>
      <c r="G854" s="66"/>
      <c r="H854" s="66"/>
      <c r="I854" s="66"/>
      <c r="J854" s="376"/>
      <c r="Q854" s="66"/>
      <c r="R854" s="66"/>
      <c r="V854" s="66"/>
      <c r="W854" s="66"/>
    </row>
    <row r="855" spans="6:23" ht="12.75" customHeight="1">
      <c r="F855" s="66"/>
      <c r="G855" s="66"/>
      <c r="H855" s="66"/>
      <c r="I855" s="66"/>
      <c r="J855" s="376"/>
      <c r="Q855" s="66"/>
      <c r="R855" s="66"/>
      <c r="V855" s="66"/>
      <c r="W855" s="66"/>
    </row>
    <row r="856" spans="6:23" ht="12.75" customHeight="1">
      <c r="F856" s="66"/>
      <c r="G856" s="66"/>
      <c r="H856" s="66"/>
      <c r="I856" s="66"/>
      <c r="J856" s="376"/>
      <c r="Q856" s="66"/>
      <c r="R856" s="66"/>
      <c r="V856" s="66"/>
      <c r="W856" s="66"/>
    </row>
    <row r="857" spans="6:23" ht="12.75" customHeight="1">
      <c r="F857" s="66"/>
      <c r="G857" s="66"/>
      <c r="H857" s="66"/>
      <c r="I857" s="66"/>
      <c r="J857" s="376"/>
      <c r="Q857" s="66"/>
      <c r="R857" s="66"/>
      <c r="V857" s="66"/>
      <c r="W857" s="66"/>
    </row>
    <row r="858" spans="6:23" ht="12.75" customHeight="1">
      <c r="F858" s="66"/>
      <c r="G858" s="66"/>
      <c r="H858" s="66"/>
      <c r="I858" s="66"/>
      <c r="J858" s="376"/>
      <c r="Q858" s="66"/>
      <c r="R858" s="66"/>
      <c r="V858" s="66"/>
      <c r="W858" s="66"/>
    </row>
    <row r="859" spans="6:23" ht="12.75" customHeight="1">
      <c r="F859" s="66"/>
      <c r="G859" s="66"/>
      <c r="H859" s="66"/>
      <c r="I859" s="66"/>
      <c r="J859" s="376"/>
      <c r="Q859" s="66"/>
      <c r="R859" s="66"/>
      <c r="V859" s="66"/>
      <c r="W859" s="66"/>
    </row>
    <row r="860" spans="6:23" ht="12.75" customHeight="1">
      <c r="F860" s="66"/>
      <c r="G860" s="66"/>
      <c r="H860" s="66"/>
      <c r="I860" s="66"/>
      <c r="J860" s="376"/>
      <c r="Q860" s="66"/>
      <c r="R860" s="66"/>
      <c r="V860" s="66"/>
      <c r="W860" s="66"/>
    </row>
    <row r="861" spans="6:23" ht="12.75" customHeight="1">
      <c r="F861" s="66"/>
      <c r="G861" s="66"/>
      <c r="H861" s="66"/>
      <c r="I861" s="66"/>
      <c r="J861" s="376"/>
      <c r="Q861" s="66"/>
      <c r="R861" s="66"/>
      <c r="V861" s="66"/>
      <c r="W861" s="66"/>
    </row>
    <row r="862" spans="6:23" ht="12.75" customHeight="1">
      <c r="F862" s="66"/>
      <c r="G862" s="66"/>
      <c r="H862" s="66"/>
      <c r="I862" s="66"/>
      <c r="J862" s="376"/>
      <c r="Q862" s="66"/>
      <c r="R862" s="66"/>
      <c r="V862" s="66"/>
      <c r="W862" s="66"/>
    </row>
    <row r="863" spans="6:23" ht="12.75" customHeight="1">
      <c r="F863" s="66"/>
      <c r="G863" s="66"/>
      <c r="H863" s="66"/>
      <c r="I863" s="66"/>
      <c r="J863" s="376"/>
      <c r="Q863" s="66"/>
      <c r="R863" s="66"/>
      <c r="V863" s="66"/>
      <c r="W863" s="66"/>
    </row>
    <row r="864" spans="6:23" ht="12.75" customHeight="1">
      <c r="F864" s="66"/>
      <c r="G864" s="66"/>
      <c r="H864" s="66"/>
      <c r="I864" s="66"/>
      <c r="J864" s="376"/>
      <c r="Q864" s="66"/>
      <c r="R864" s="66"/>
      <c r="V864" s="66"/>
      <c r="W864" s="66"/>
    </row>
    <row r="865" spans="6:23" ht="12.75" customHeight="1">
      <c r="F865" s="66"/>
      <c r="G865" s="66"/>
      <c r="H865" s="66"/>
      <c r="I865" s="66"/>
      <c r="J865" s="376"/>
      <c r="Q865" s="66"/>
      <c r="R865" s="66"/>
      <c r="V865" s="66"/>
      <c r="W865" s="66"/>
    </row>
    <row r="866" spans="6:23" ht="12.75" customHeight="1">
      <c r="F866" s="66"/>
      <c r="G866" s="66"/>
      <c r="H866" s="66"/>
      <c r="I866" s="66"/>
      <c r="J866" s="376"/>
      <c r="Q866" s="66"/>
      <c r="R866" s="66"/>
      <c r="V866" s="66"/>
      <c r="W866" s="66"/>
    </row>
    <row r="867" spans="6:23" ht="12.75" customHeight="1">
      <c r="F867" s="66"/>
      <c r="G867" s="66"/>
      <c r="H867" s="66"/>
      <c r="I867" s="66"/>
      <c r="J867" s="376"/>
      <c r="Q867" s="66"/>
      <c r="R867" s="66"/>
      <c r="V867" s="66"/>
      <c r="W867" s="66"/>
    </row>
    <row r="868" spans="6:23" ht="12.75" customHeight="1">
      <c r="F868" s="66"/>
      <c r="G868" s="66"/>
      <c r="H868" s="66"/>
      <c r="I868" s="66"/>
      <c r="J868" s="376"/>
      <c r="Q868" s="66"/>
      <c r="R868" s="66"/>
      <c r="V868" s="66"/>
      <c r="W868" s="66"/>
    </row>
    <row r="869" spans="6:23" ht="12.75" customHeight="1">
      <c r="F869" s="66"/>
      <c r="G869" s="66"/>
      <c r="H869" s="66"/>
      <c r="I869" s="66"/>
      <c r="J869" s="376"/>
      <c r="Q869" s="66"/>
      <c r="R869" s="66"/>
      <c r="V869" s="66"/>
      <c r="W869" s="66"/>
    </row>
    <row r="870" spans="6:23" ht="12.75" customHeight="1">
      <c r="F870" s="66"/>
      <c r="G870" s="66"/>
      <c r="H870" s="66"/>
      <c r="I870" s="66"/>
      <c r="J870" s="376"/>
      <c r="Q870" s="66"/>
      <c r="R870" s="66"/>
      <c r="V870" s="66"/>
      <c r="W870" s="66"/>
    </row>
    <row r="871" spans="6:23" ht="12.75" customHeight="1">
      <c r="F871" s="66"/>
      <c r="G871" s="66"/>
      <c r="H871" s="66"/>
      <c r="I871" s="66"/>
      <c r="J871" s="376"/>
      <c r="Q871" s="66"/>
      <c r="R871" s="66"/>
      <c r="V871" s="66"/>
      <c r="W871" s="66"/>
    </row>
    <row r="872" spans="6:23" ht="12.75" customHeight="1">
      <c r="F872" s="66"/>
      <c r="G872" s="66"/>
      <c r="H872" s="66"/>
      <c r="I872" s="66"/>
      <c r="J872" s="376"/>
      <c r="Q872" s="66"/>
      <c r="R872" s="66"/>
      <c r="V872" s="66"/>
      <c r="W872" s="66"/>
    </row>
    <row r="873" spans="6:23" ht="12.75" customHeight="1">
      <c r="F873" s="66"/>
      <c r="G873" s="66"/>
      <c r="H873" s="66"/>
      <c r="I873" s="66"/>
      <c r="J873" s="376"/>
      <c r="Q873" s="66"/>
      <c r="R873" s="66"/>
      <c r="V873" s="66"/>
      <c r="W873" s="66"/>
    </row>
    <row r="874" spans="6:23" ht="12.75" customHeight="1">
      <c r="F874" s="66"/>
      <c r="G874" s="66"/>
      <c r="H874" s="66"/>
      <c r="I874" s="66"/>
      <c r="J874" s="376"/>
      <c r="Q874" s="66"/>
      <c r="R874" s="66"/>
      <c r="V874" s="66"/>
      <c r="W874" s="66"/>
    </row>
    <row r="875" spans="6:23" ht="12.75" customHeight="1">
      <c r="F875" s="66"/>
      <c r="G875" s="66"/>
      <c r="H875" s="66"/>
      <c r="I875" s="66"/>
      <c r="J875" s="376"/>
      <c r="Q875" s="66"/>
      <c r="R875" s="66"/>
      <c r="V875" s="66"/>
      <c r="W875" s="66"/>
    </row>
    <row r="876" spans="6:23" ht="12.75" customHeight="1">
      <c r="F876" s="66"/>
      <c r="G876" s="66"/>
      <c r="H876" s="66"/>
      <c r="I876" s="66"/>
      <c r="J876" s="376"/>
      <c r="Q876" s="66"/>
      <c r="R876" s="66"/>
      <c r="V876" s="66"/>
      <c r="W876" s="66"/>
    </row>
    <row r="877" spans="6:23" ht="12.75" customHeight="1">
      <c r="F877" s="66"/>
      <c r="G877" s="66"/>
      <c r="H877" s="66"/>
      <c r="I877" s="66"/>
      <c r="J877" s="376"/>
      <c r="Q877" s="66"/>
      <c r="R877" s="66"/>
      <c r="V877" s="66"/>
      <c r="W877" s="66"/>
    </row>
    <row r="878" spans="6:23" ht="12.75" customHeight="1">
      <c r="F878" s="66"/>
      <c r="G878" s="66"/>
      <c r="H878" s="66"/>
      <c r="I878" s="66"/>
      <c r="J878" s="376"/>
      <c r="Q878" s="66"/>
      <c r="R878" s="66"/>
      <c r="V878" s="66"/>
      <c r="W878" s="66"/>
    </row>
    <row r="879" spans="6:23" ht="12.75" customHeight="1">
      <c r="F879" s="66"/>
      <c r="G879" s="66"/>
      <c r="H879" s="66"/>
      <c r="I879" s="66"/>
      <c r="J879" s="376"/>
      <c r="Q879" s="66"/>
      <c r="R879" s="66"/>
      <c r="V879" s="66"/>
      <c r="W879" s="66"/>
    </row>
    <row r="880" spans="6:23" ht="12.75" customHeight="1">
      <c r="F880" s="66"/>
      <c r="G880" s="66"/>
      <c r="H880" s="66"/>
      <c r="I880" s="66"/>
      <c r="J880" s="376"/>
      <c r="Q880" s="66"/>
      <c r="R880" s="66"/>
      <c r="V880" s="66"/>
      <c r="W880" s="66"/>
    </row>
    <row r="881" spans="6:23" ht="12.75" customHeight="1">
      <c r="F881" s="66"/>
      <c r="G881" s="66"/>
      <c r="H881" s="66"/>
      <c r="I881" s="66"/>
      <c r="J881" s="376"/>
      <c r="Q881" s="66"/>
      <c r="R881" s="66"/>
      <c r="V881" s="66"/>
      <c r="W881" s="66"/>
    </row>
    <row r="882" spans="6:23" ht="12.75" customHeight="1">
      <c r="F882" s="66"/>
      <c r="G882" s="66"/>
      <c r="H882" s="66"/>
      <c r="I882" s="66"/>
      <c r="J882" s="376"/>
      <c r="Q882" s="66"/>
      <c r="R882" s="66"/>
      <c r="V882" s="66"/>
      <c r="W882" s="66"/>
    </row>
    <row r="883" spans="6:23" ht="12.75" customHeight="1">
      <c r="F883" s="66"/>
      <c r="G883" s="66"/>
      <c r="H883" s="66"/>
      <c r="I883" s="66"/>
      <c r="J883" s="376"/>
      <c r="Q883" s="66"/>
      <c r="R883" s="66"/>
      <c r="V883" s="66"/>
      <c r="W883" s="66"/>
    </row>
    <row r="884" spans="6:23" ht="12.75" customHeight="1">
      <c r="F884" s="66"/>
      <c r="G884" s="66"/>
      <c r="H884" s="66"/>
      <c r="I884" s="66"/>
      <c r="J884" s="376"/>
      <c r="Q884" s="66"/>
      <c r="R884" s="66"/>
      <c r="V884" s="66"/>
      <c r="W884" s="66"/>
    </row>
    <row r="885" spans="6:23" ht="12.75" customHeight="1">
      <c r="F885" s="66"/>
      <c r="G885" s="66"/>
      <c r="H885" s="66"/>
      <c r="I885" s="66"/>
      <c r="J885" s="376"/>
      <c r="Q885" s="66"/>
      <c r="R885" s="66"/>
      <c r="V885" s="66"/>
      <c r="W885" s="66"/>
    </row>
    <row r="886" spans="6:23" ht="12.75" customHeight="1">
      <c r="F886" s="66"/>
      <c r="G886" s="66"/>
      <c r="H886" s="66"/>
      <c r="I886" s="66"/>
      <c r="J886" s="376"/>
      <c r="Q886" s="66"/>
      <c r="R886" s="66"/>
      <c r="V886" s="66"/>
      <c r="W886" s="66"/>
    </row>
    <row r="887" spans="6:23" ht="12.75" customHeight="1">
      <c r="F887" s="66"/>
      <c r="G887" s="66"/>
      <c r="H887" s="66"/>
      <c r="I887" s="66"/>
      <c r="J887" s="376"/>
      <c r="Q887" s="66"/>
      <c r="R887" s="66"/>
      <c r="V887" s="66"/>
      <c r="W887" s="66"/>
    </row>
    <row r="888" spans="6:23" ht="12.75" customHeight="1">
      <c r="F888" s="66"/>
      <c r="G888" s="66"/>
      <c r="H888" s="66"/>
      <c r="I888" s="66"/>
      <c r="J888" s="376"/>
      <c r="Q888" s="66"/>
      <c r="R888" s="66"/>
      <c r="V888" s="66"/>
      <c r="W888" s="66"/>
    </row>
    <row r="889" spans="6:23" ht="12.75" customHeight="1">
      <c r="F889" s="66"/>
      <c r="G889" s="66"/>
      <c r="H889" s="66"/>
      <c r="I889" s="66"/>
      <c r="J889" s="376"/>
      <c r="Q889" s="66"/>
      <c r="R889" s="66"/>
      <c r="V889" s="66"/>
      <c r="W889" s="66"/>
    </row>
    <row r="890" spans="6:23" ht="12.75" customHeight="1">
      <c r="F890" s="66"/>
      <c r="G890" s="66"/>
      <c r="H890" s="66"/>
      <c r="I890" s="66"/>
      <c r="J890" s="376"/>
      <c r="Q890" s="66"/>
      <c r="R890" s="66"/>
      <c r="V890" s="66"/>
      <c r="W890" s="66"/>
    </row>
    <row r="891" spans="6:23" ht="12.75" customHeight="1">
      <c r="F891" s="66"/>
      <c r="G891" s="66"/>
      <c r="H891" s="66"/>
      <c r="I891" s="66"/>
      <c r="J891" s="376"/>
      <c r="Q891" s="66"/>
      <c r="R891" s="66"/>
      <c r="V891" s="66"/>
      <c r="W891" s="66"/>
    </row>
    <row r="892" spans="6:23" ht="12.75" customHeight="1">
      <c r="F892" s="66"/>
      <c r="G892" s="66"/>
      <c r="H892" s="66"/>
      <c r="I892" s="66"/>
      <c r="J892" s="376"/>
      <c r="Q892" s="66"/>
      <c r="R892" s="66"/>
      <c r="V892" s="66"/>
      <c r="W892" s="66"/>
    </row>
    <row r="893" spans="6:23" ht="12.75" customHeight="1">
      <c r="F893" s="66"/>
      <c r="G893" s="66"/>
      <c r="H893" s="66"/>
      <c r="I893" s="66"/>
      <c r="J893" s="376"/>
      <c r="Q893" s="66"/>
      <c r="R893" s="66"/>
      <c r="V893" s="66"/>
      <c r="W893" s="66"/>
    </row>
    <row r="894" spans="6:23" ht="12.75" customHeight="1">
      <c r="F894" s="66"/>
      <c r="G894" s="66"/>
      <c r="H894" s="66"/>
      <c r="I894" s="66"/>
      <c r="J894" s="376"/>
      <c r="Q894" s="66"/>
      <c r="R894" s="66"/>
      <c r="V894" s="66"/>
      <c r="W894" s="66"/>
    </row>
    <row r="895" spans="6:23" ht="12.75" customHeight="1">
      <c r="F895" s="66"/>
      <c r="G895" s="66"/>
      <c r="H895" s="66"/>
      <c r="I895" s="66"/>
      <c r="J895" s="376"/>
      <c r="Q895" s="66"/>
      <c r="R895" s="66"/>
      <c r="V895" s="66"/>
      <c r="W895" s="66"/>
    </row>
    <row r="896" spans="6:23" ht="12.75" customHeight="1">
      <c r="F896" s="66"/>
      <c r="G896" s="66"/>
      <c r="H896" s="66"/>
      <c r="I896" s="66"/>
      <c r="J896" s="376"/>
      <c r="Q896" s="66"/>
      <c r="R896" s="66"/>
      <c r="V896" s="66"/>
      <c r="W896" s="66"/>
    </row>
    <row r="897" spans="6:23" ht="12.75" customHeight="1">
      <c r="F897" s="66"/>
      <c r="G897" s="66"/>
      <c r="H897" s="66"/>
      <c r="I897" s="66"/>
      <c r="J897" s="376"/>
      <c r="Q897" s="66"/>
      <c r="R897" s="66"/>
      <c r="V897" s="66"/>
      <c r="W897" s="66"/>
    </row>
    <row r="898" spans="6:23" ht="12.75" customHeight="1">
      <c r="F898" s="66"/>
      <c r="G898" s="66"/>
      <c r="H898" s="66"/>
      <c r="I898" s="66"/>
      <c r="J898" s="376"/>
      <c r="Q898" s="66"/>
      <c r="R898" s="66"/>
      <c r="V898" s="66"/>
      <c r="W898" s="66"/>
    </row>
    <row r="899" spans="6:23" ht="12.75" customHeight="1">
      <c r="F899" s="66"/>
      <c r="G899" s="66"/>
      <c r="H899" s="66"/>
      <c r="I899" s="66"/>
      <c r="J899" s="376"/>
      <c r="Q899" s="66"/>
      <c r="R899" s="66"/>
      <c r="V899" s="66"/>
      <c r="W899" s="66"/>
    </row>
    <row r="900" spans="6:23" ht="12.75" customHeight="1">
      <c r="F900" s="66"/>
      <c r="G900" s="66"/>
      <c r="H900" s="66"/>
      <c r="I900" s="66"/>
      <c r="J900" s="376"/>
      <c r="Q900" s="66"/>
      <c r="R900" s="66"/>
      <c r="V900" s="66"/>
      <c r="W900" s="66"/>
    </row>
    <row r="901" spans="6:23" ht="12.75" customHeight="1">
      <c r="F901" s="66"/>
      <c r="G901" s="66"/>
      <c r="H901" s="66"/>
      <c r="I901" s="66"/>
      <c r="J901" s="376"/>
      <c r="Q901" s="66"/>
      <c r="R901" s="66"/>
      <c r="V901" s="66"/>
      <c r="W901" s="66"/>
    </row>
    <row r="902" spans="6:23" ht="12.75" customHeight="1">
      <c r="F902" s="66"/>
      <c r="G902" s="66"/>
      <c r="H902" s="66"/>
      <c r="I902" s="66"/>
      <c r="J902" s="376"/>
      <c r="Q902" s="66"/>
      <c r="R902" s="66"/>
      <c r="V902" s="66"/>
      <c r="W902" s="66"/>
    </row>
    <row r="903" spans="6:23" ht="12.75" customHeight="1">
      <c r="F903" s="66"/>
      <c r="G903" s="66"/>
      <c r="H903" s="66"/>
      <c r="I903" s="66"/>
      <c r="J903" s="376"/>
      <c r="Q903" s="66"/>
      <c r="R903" s="66"/>
      <c r="V903" s="66"/>
      <c r="W903" s="66"/>
    </row>
    <row r="904" spans="6:23" ht="12.75" customHeight="1">
      <c r="F904" s="66"/>
      <c r="G904" s="66"/>
      <c r="H904" s="66"/>
      <c r="I904" s="66"/>
      <c r="J904" s="376"/>
      <c r="Q904" s="66"/>
      <c r="R904" s="66"/>
      <c r="V904" s="66"/>
      <c r="W904" s="66"/>
    </row>
    <row r="905" spans="6:23" ht="12.75" customHeight="1">
      <c r="F905" s="66"/>
      <c r="G905" s="66"/>
      <c r="H905" s="66"/>
      <c r="I905" s="66"/>
      <c r="J905" s="376"/>
      <c r="Q905" s="66"/>
      <c r="R905" s="66"/>
      <c r="V905" s="66"/>
      <c r="W905" s="66"/>
    </row>
    <row r="906" spans="6:23" ht="12.75" customHeight="1">
      <c r="F906" s="66"/>
      <c r="G906" s="66"/>
      <c r="H906" s="66"/>
      <c r="I906" s="66"/>
      <c r="J906" s="376"/>
      <c r="Q906" s="66"/>
      <c r="R906" s="66"/>
      <c r="V906" s="66"/>
      <c r="W906" s="66"/>
    </row>
    <row r="907" spans="6:23" ht="12.75" customHeight="1">
      <c r="F907" s="66"/>
      <c r="G907" s="66"/>
      <c r="H907" s="66"/>
      <c r="I907" s="66"/>
      <c r="J907" s="376"/>
      <c r="Q907" s="66"/>
      <c r="R907" s="66"/>
      <c r="V907" s="66"/>
      <c r="W907" s="66"/>
    </row>
    <row r="908" spans="6:23" ht="12.75" customHeight="1">
      <c r="F908" s="66"/>
      <c r="G908" s="66"/>
      <c r="H908" s="66"/>
      <c r="I908" s="66"/>
      <c r="J908" s="376"/>
      <c r="Q908" s="66"/>
      <c r="R908" s="66"/>
      <c r="V908" s="66"/>
      <c r="W908" s="66"/>
    </row>
    <row r="909" spans="6:23" ht="12.75" customHeight="1">
      <c r="F909" s="66"/>
      <c r="G909" s="66"/>
      <c r="H909" s="66"/>
      <c r="I909" s="66"/>
      <c r="J909" s="376"/>
      <c r="Q909" s="66"/>
      <c r="R909" s="66"/>
      <c r="V909" s="66"/>
      <c r="W909" s="66"/>
    </row>
    <row r="910" spans="6:23" ht="12.75" customHeight="1">
      <c r="F910" s="66"/>
      <c r="G910" s="66"/>
      <c r="H910" s="66"/>
      <c r="I910" s="66"/>
      <c r="J910" s="376"/>
      <c r="Q910" s="66"/>
      <c r="R910" s="66"/>
      <c r="V910" s="66"/>
      <c r="W910" s="66"/>
    </row>
    <row r="911" spans="6:23" ht="12.75" customHeight="1">
      <c r="F911" s="66"/>
      <c r="G911" s="66"/>
      <c r="H911" s="66"/>
      <c r="I911" s="66"/>
      <c r="J911" s="376"/>
      <c r="Q911" s="66"/>
      <c r="R911" s="66"/>
      <c r="V911" s="66"/>
      <c r="W911" s="66"/>
    </row>
    <row r="912" spans="6:23" ht="12.75" customHeight="1">
      <c r="F912" s="66"/>
      <c r="G912" s="66"/>
      <c r="H912" s="66"/>
      <c r="I912" s="66"/>
      <c r="J912" s="376"/>
      <c r="Q912" s="66"/>
      <c r="R912" s="66"/>
      <c r="V912" s="66"/>
      <c r="W912" s="66"/>
    </row>
    <row r="913" spans="6:23" ht="12.75" customHeight="1">
      <c r="F913" s="66"/>
      <c r="G913" s="66"/>
      <c r="H913" s="66"/>
      <c r="I913" s="66"/>
      <c r="J913" s="376"/>
      <c r="Q913" s="66"/>
      <c r="R913" s="66"/>
      <c r="V913" s="66"/>
      <c r="W913" s="66"/>
    </row>
    <row r="914" spans="6:23" ht="12.75" customHeight="1">
      <c r="F914" s="66"/>
      <c r="G914" s="66"/>
      <c r="H914" s="66"/>
      <c r="I914" s="66"/>
      <c r="J914" s="376"/>
      <c r="Q914" s="66"/>
      <c r="R914" s="66"/>
      <c r="V914" s="66"/>
      <c r="W914" s="66"/>
    </row>
    <row r="915" spans="6:23" ht="12.75" customHeight="1">
      <c r="F915" s="66"/>
      <c r="G915" s="66"/>
      <c r="H915" s="66"/>
      <c r="I915" s="66"/>
      <c r="J915" s="376"/>
      <c r="Q915" s="66"/>
      <c r="R915" s="66"/>
      <c r="V915" s="66"/>
      <c r="W915" s="66"/>
    </row>
    <row r="916" spans="6:23" ht="12.75" customHeight="1">
      <c r="F916" s="66"/>
      <c r="G916" s="66"/>
      <c r="H916" s="66"/>
      <c r="I916" s="66"/>
      <c r="J916" s="376"/>
      <c r="Q916" s="66"/>
      <c r="R916" s="66"/>
      <c r="V916" s="66"/>
      <c r="W916" s="66"/>
    </row>
    <row r="917" spans="6:23" ht="12.75" customHeight="1">
      <c r="F917" s="66"/>
      <c r="G917" s="66"/>
      <c r="H917" s="66"/>
      <c r="I917" s="66"/>
      <c r="J917" s="376"/>
      <c r="Q917" s="66"/>
      <c r="R917" s="66"/>
      <c r="V917" s="66"/>
      <c r="W917" s="66"/>
    </row>
    <row r="918" spans="6:23" ht="12.75" customHeight="1">
      <c r="F918" s="66"/>
      <c r="G918" s="66"/>
      <c r="H918" s="66"/>
      <c r="I918" s="66"/>
      <c r="J918" s="376"/>
      <c r="Q918" s="66"/>
      <c r="R918" s="66"/>
      <c r="V918" s="66"/>
      <c r="W918" s="66"/>
    </row>
    <row r="919" spans="6:23" ht="12.75" customHeight="1">
      <c r="F919" s="66"/>
      <c r="G919" s="66"/>
      <c r="H919" s="66"/>
      <c r="I919" s="66"/>
      <c r="J919" s="376"/>
      <c r="Q919" s="66"/>
      <c r="R919" s="66"/>
      <c r="V919" s="66"/>
      <c r="W919" s="66"/>
    </row>
    <row r="920" spans="6:23" ht="12.75" customHeight="1">
      <c r="F920" s="66"/>
      <c r="G920" s="66"/>
      <c r="H920" s="66"/>
      <c r="I920" s="66"/>
      <c r="J920" s="376"/>
      <c r="Q920" s="66"/>
      <c r="R920" s="66"/>
      <c r="V920" s="66"/>
      <c r="W920" s="66"/>
    </row>
    <row r="921" spans="6:23" ht="12.75" customHeight="1">
      <c r="F921" s="66"/>
      <c r="G921" s="66"/>
      <c r="H921" s="66"/>
      <c r="I921" s="66"/>
      <c r="J921" s="376"/>
      <c r="Q921" s="66"/>
      <c r="R921" s="66"/>
      <c r="V921" s="66"/>
      <c r="W921" s="66"/>
    </row>
    <row r="922" spans="6:23" ht="12.75" customHeight="1">
      <c r="F922" s="66"/>
      <c r="G922" s="66"/>
      <c r="H922" s="66"/>
      <c r="I922" s="66"/>
      <c r="J922" s="376"/>
      <c r="Q922" s="66"/>
      <c r="R922" s="66"/>
      <c r="V922" s="66"/>
      <c r="W922" s="66"/>
    </row>
    <row r="923" spans="6:23" ht="12.75" customHeight="1">
      <c r="F923" s="66"/>
      <c r="G923" s="66"/>
      <c r="H923" s="66"/>
      <c r="I923" s="66"/>
      <c r="J923" s="376"/>
      <c r="Q923" s="66"/>
      <c r="R923" s="66"/>
      <c r="V923" s="66"/>
      <c r="W923" s="66"/>
    </row>
    <row r="924" spans="6:23" ht="12.75" customHeight="1">
      <c r="F924" s="66"/>
      <c r="G924" s="66"/>
      <c r="H924" s="66"/>
      <c r="I924" s="66"/>
      <c r="J924" s="376"/>
      <c r="Q924" s="66"/>
      <c r="R924" s="66"/>
      <c r="V924" s="66"/>
      <c r="W924" s="66"/>
    </row>
    <row r="925" spans="6:23" ht="12.75" customHeight="1">
      <c r="F925" s="66"/>
      <c r="G925" s="66"/>
      <c r="H925" s="66"/>
      <c r="I925" s="66"/>
      <c r="J925" s="376"/>
      <c r="Q925" s="66"/>
      <c r="R925" s="66"/>
      <c r="V925" s="66"/>
      <c r="W925" s="66"/>
    </row>
    <row r="926" spans="6:23" ht="12.75" customHeight="1">
      <c r="F926" s="66"/>
      <c r="G926" s="66"/>
      <c r="H926" s="66"/>
      <c r="I926" s="66"/>
      <c r="J926" s="376"/>
      <c r="Q926" s="66"/>
      <c r="R926" s="66"/>
      <c r="V926" s="66"/>
      <c r="W926" s="66"/>
    </row>
    <row r="927" spans="6:23" ht="12.75" customHeight="1">
      <c r="F927" s="66"/>
      <c r="G927" s="66"/>
      <c r="H927" s="66"/>
      <c r="I927" s="66"/>
      <c r="J927" s="376"/>
      <c r="Q927" s="66"/>
      <c r="R927" s="66"/>
      <c r="V927" s="66"/>
      <c r="W927" s="66"/>
    </row>
    <row r="928" spans="6:23" ht="12.75" customHeight="1">
      <c r="F928" s="66"/>
      <c r="G928" s="66"/>
      <c r="H928" s="66"/>
      <c r="I928" s="66"/>
      <c r="J928" s="376"/>
      <c r="Q928" s="66"/>
      <c r="R928" s="66"/>
      <c r="V928" s="66"/>
      <c r="W928" s="66"/>
    </row>
    <row r="929" spans="6:23" ht="12.75" customHeight="1">
      <c r="F929" s="66"/>
      <c r="G929" s="66"/>
      <c r="H929" s="66"/>
      <c r="I929" s="66"/>
      <c r="J929" s="376"/>
      <c r="Q929" s="66"/>
      <c r="R929" s="66"/>
      <c r="V929" s="66"/>
      <c r="W929" s="66"/>
    </row>
    <row r="930" spans="6:23" ht="12.75" customHeight="1">
      <c r="F930" s="66"/>
      <c r="G930" s="66"/>
      <c r="H930" s="66"/>
      <c r="I930" s="66"/>
      <c r="J930" s="376"/>
      <c r="Q930" s="66"/>
      <c r="R930" s="66"/>
      <c r="V930" s="66"/>
      <c r="W930" s="66"/>
    </row>
    <row r="931" spans="6:23" ht="12.75" customHeight="1">
      <c r="F931" s="66"/>
      <c r="G931" s="66"/>
      <c r="H931" s="66"/>
      <c r="I931" s="66"/>
      <c r="J931" s="376"/>
      <c r="Q931" s="66"/>
      <c r="R931" s="66"/>
      <c r="V931" s="66"/>
      <c r="W931" s="66"/>
    </row>
    <row r="932" spans="6:23" ht="12.75" customHeight="1">
      <c r="F932" s="66"/>
      <c r="G932" s="66"/>
      <c r="H932" s="66"/>
      <c r="I932" s="66"/>
      <c r="J932" s="376"/>
      <c r="Q932" s="66"/>
      <c r="R932" s="66"/>
      <c r="V932" s="66"/>
      <c r="W932" s="66"/>
    </row>
    <row r="933" spans="6:23" ht="12.75" customHeight="1">
      <c r="F933" s="66"/>
      <c r="G933" s="66"/>
      <c r="H933" s="66"/>
      <c r="I933" s="66"/>
      <c r="J933" s="376"/>
      <c r="Q933" s="66"/>
      <c r="R933" s="66"/>
      <c r="V933" s="66"/>
      <c r="W933" s="66"/>
    </row>
    <row r="934" spans="6:23" ht="12.75" customHeight="1">
      <c r="F934" s="66"/>
      <c r="G934" s="66"/>
      <c r="H934" s="66"/>
      <c r="I934" s="66"/>
      <c r="J934" s="376"/>
      <c r="Q934" s="66"/>
      <c r="R934" s="66"/>
      <c r="V934" s="66"/>
      <c r="W934" s="66"/>
    </row>
    <row r="935" spans="6:23" ht="12.75" customHeight="1">
      <c r="F935" s="66"/>
      <c r="G935" s="66"/>
      <c r="H935" s="66"/>
      <c r="I935" s="66"/>
      <c r="J935" s="376"/>
      <c r="Q935" s="66"/>
      <c r="R935" s="66"/>
      <c r="V935" s="66"/>
      <c r="W935" s="66"/>
    </row>
    <row r="936" spans="6:23" ht="12.75" customHeight="1">
      <c r="F936" s="66"/>
      <c r="G936" s="66"/>
      <c r="H936" s="66"/>
      <c r="I936" s="66"/>
      <c r="J936" s="376"/>
      <c r="Q936" s="66"/>
      <c r="R936" s="66"/>
      <c r="V936" s="66"/>
      <c r="W936" s="66"/>
    </row>
    <row r="937" spans="6:23" ht="12.75" customHeight="1">
      <c r="F937" s="66"/>
      <c r="G937" s="66"/>
      <c r="H937" s="66"/>
      <c r="I937" s="66"/>
      <c r="J937" s="376"/>
      <c r="Q937" s="66"/>
      <c r="R937" s="66"/>
      <c r="V937" s="66"/>
      <c r="W937" s="66"/>
    </row>
    <row r="938" spans="6:23" ht="12.75" customHeight="1">
      <c r="F938" s="66"/>
      <c r="G938" s="66"/>
      <c r="H938" s="66"/>
      <c r="I938" s="66"/>
      <c r="J938" s="376"/>
      <c r="Q938" s="66"/>
      <c r="R938" s="66"/>
      <c r="V938" s="66"/>
      <c r="W938" s="66"/>
    </row>
    <row r="939" spans="6:23" ht="12.75" customHeight="1">
      <c r="F939" s="66"/>
      <c r="G939" s="66"/>
      <c r="H939" s="66"/>
      <c r="I939" s="66"/>
      <c r="J939" s="376"/>
      <c r="Q939" s="66"/>
      <c r="R939" s="66"/>
      <c r="V939" s="66"/>
      <c r="W939" s="66"/>
    </row>
    <row r="940" spans="6:23" ht="12.75" customHeight="1">
      <c r="F940" s="66"/>
      <c r="G940" s="66"/>
      <c r="H940" s="66"/>
      <c r="I940" s="66"/>
      <c r="J940" s="376"/>
      <c r="Q940" s="66"/>
      <c r="R940" s="66"/>
      <c r="V940" s="66"/>
      <c r="W940" s="66"/>
    </row>
    <row r="941" spans="6:23" ht="12.75" customHeight="1">
      <c r="F941" s="66"/>
      <c r="G941" s="66"/>
      <c r="H941" s="66"/>
      <c r="I941" s="66"/>
      <c r="J941" s="376"/>
      <c r="Q941" s="66"/>
      <c r="R941" s="66"/>
      <c r="V941" s="66"/>
      <c r="W941" s="66"/>
    </row>
    <row r="942" spans="6:23" ht="12.75" customHeight="1">
      <c r="F942" s="66"/>
      <c r="G942" s="66"/>
      <c r="H942" s="66"/>
      <c r="I942" s="66"/>
      <c r="J942" s="376"/>
      <c r="Q942" s="66"/>
      <c r="R942" s="66"/>
      <c r="V942" s="66"/>
      <c r="W942" s="66"/>
    </row>
    <row r="943" spans="6:23" ht="12.75" customHeight="1">
      <c r="F943" s="66"/>
      <c r="G943" s="66"/>
      <c r="H943" s="66"/>
      <c r="I943" s="66"/>
      <c r="J943" s="376"/>
      <c r="Q943" s="66"/>
      <c r="R943" s="66"/>
      <c r="V943" s="66"/>
      <c r="W943" s="66"/>
    </row>
    <row r="944" spans="6:23" ht="12.75" customHeight="1">
      <c r="F944" s="66"/>
      <c r="G944" s="66"/>
      <c r="H944" s="66"/>
      <c r="I944" s="66"/>
      <c r="J944" s="376"/>
      <c r="Q944" s="66"/>
      <c r="R944" s="66"/>
      <c r="V944" s="66"/>
      <c r="W944" s="66"/>
    </row>
    <row r="945" spans="6:23" ht="12.75" customHeight="1">
      <c r="F945" s="66"/>
      <c r="G945" s="66"/>
      <c r="H945" s="66"/>
      <c r="I945" s="66"/>
      <c r="J945" s="376"/>
      <c r="Q945" s="66"/>
      <c r="R945" s="66"/>
      <c r="V945" s="66"/>
      <c r="W945" s="66"/>
    </row>
    <row r="946" spans="6:23" ht="12.75" customHeight="1">
      <c r="F946" s="66"/>
      <c r="G946" s="66"/>
      <c r="H946" s="66"/>
      <c r="I946" s="66"/>
      <c r="J946" s="376"/>
      <c r="Q946" s="66"/>
      <c r="R946" s="66"/>
      <c r="V946" s="66"/>
      <c r="W946" s="66"/>
    </row>
    <row r="947" spans="6:23" ht="12.75" customHeight="1">
      <c r="F947" s="66"/>
      <c r="G947" s="66"/>
      <c r="H947" s="66"/>
      <c r="I947" s="66"/>
      <c r="J947" s="376"/>
      <c r="Q947" s="66"/>
      <c r="R947" s="66"/>
      <c r="V947" s="66"/>
      <c r="W947" s="66"/>
    </row>
    <row r="948" spans="6:23" ht="12.75" customHeight="1">
      <c r="F948" s="66"/>
      <c r="G948" s="66"/>
      <c r="H948" s="66"/>
      <c r="I948" s="66"/>
      <c r="J948" s="376"/>
      <c r="Q948" s="66"/>
      <c r="R948" s="66"/>
      <c r="V948" s="66"/>
      <c r="W948" s="66"/>
    </row>
    <row r="949" spans="6:23" ht="12.75" customHeight="1">
      <c r="F949" s="66"/>
      <c r="G949" s="66"/>
      <c r="H949" s="66"/>
      <c r="I949" s="66"/>
      <c r="J949" s="376"/>
      <c r="Q949" s="66"/>
      <c r="R949" s="66"/>
      <c r="V949" s="66"/>
      <c r="W949" s="66"/>
    </row>
    <row r="950" spans="6:23" ht="12.75" customHeight="1">
      <c r="F950" s="66"/>
      <c r="G950" s="66"/>
      <c r="H950" s="66"/>
      <c r="I950" s="66"/>
      <c r="J950" s="376"/>
      <c r="Q950" s="66"/>
      <c r="R950" s="66"/>
      <c r="V950" s="66"/>
      <c r="W950" s="66"/>
    </row>
    <row r="951" spans="6:23" ht="12.75" customHeight="1">
      <c r="F951" s="66"/>
      <c r="G951" s="66"/>
      <c r="H951" s="66"/>
      <c r="I951" s="66"/>
      <c r="J951" s="376"/>
      <c r="Q951" s="66"/>
      <c r="R951" s="66"/>
      <c r="V951" s="66"/>
      <c r="W951" s="66"/>
    </row>
    <row r="952" spans="6:23" ht="12.75" customHeight="1">
      <c r="F952" s="66"/>
      <c r="G952" s="66"/>
      <c r="H952" s="66"/>
      <c r="I952" s="66"/>
      <c r="J952" s="376"/>
      <c r="Q952" s="66"/>
      <c r="R952" s="66"/>
      <c r="V952" s="66"/>
      <c r="W952" s="66"/>
    </row>
    <row r="953" spans="6:23" ht="12.75" customHeight="1">
      <c r="F953" s="66"/>
      <c r="G953" s="66"/>
      <c r="H953" s="66"/>
      <c r="I953" s="66"/>
      <c r="J953" s="376"/>
      <c r="Q953" s="66"/>
      <c r="R953" s="66"/>
      <c r="V953" s="66"/>
      <c r="W953" s="66"/>
    </row>
    <row r="954" spans="6:23" ht="12.75" customHeight="1">
      <c r="F954" s="66"/>
      <c r="G954" s="66"/>
      <c r="H954" s="66"/>
      <c r="I954" s="66"/>
      <c r="J954" s="376"/>
      <c r="Q954" s="66"/>
      <c r="R954" s="66"/>
      <c r="V954" s="66"/>
      <c r="W954" s="66"/>
    </row>
    <row r="955" spans="6:23" ht="12.75" customHeight="1">
      <c r="F955" s="66"/>
      <c r="G955" s="66"/>
      <c r="H955" s="66"/>
      <c r="I955" s="66"/>
      <c r="J955" s="376"/>
      <c r="Q955" s="66"/>
      <c r="R955" s="66"/>
      <c r="V955" s="66"/>
      <c r="W955" s="66"/>
    </row>
    <row r="956" spans="6:23" ht="12.75" customHeight="1">
      <c r="F956" s="66"/>
      <c r="G956" s="66"/>
      <c r="H956" s="66"/>
      <c r="I956" s="66"/>
      <c r="J956" s="376"/>
      <c r="Q956" s="66"/>
      <c r="R956" s="66"/>
      <c r="V956" s="66"/>
      <c r="W956" s="66"/>
    </row>
    <row r="957" spans="6:23" ht="12.75" customHeight="1">
      <c r="F957" s="66"/>
      <c r="G957" s="66"/>
      <c r="H957" s="66"/>
      <c r="I957" s="66"/>
      <c r="J957" s="376"/>
      <c r="Q957" s="66"/>
      <c r="R957" s="66"/>
      <c r="V957" s="66"/>
      <c r="W957" s="66"/>
    </row>
    <row r="958" spans="6:23" ht="12.75" customHeight="1">
      <c r="F958" s="66"/>
      <c r="G958" s="66"/>
      <c r="H958" s="66"/>
      <c r="I958" s="66"/>
      <c r="J958" s="376"/>
      <c r="Q958" s="66"/>
      <c r="R958" s="66"/>
      <c r="V958" s="66"/>
      <c r="W958" s="66"/>
    </row>
    <row r="959" spans="6:23" ht="12.75" customHeight="1">
      <c r="F959" s="66"/>
      <c r="G959" s="66"/>
      <c r="H959" s="66"/>
      <c r="I959" s="66"/>
      <c r="J959" s="376"/>
      <c r="Q959" s="66"/>
      <c r="R959" s="66"/>
      <c r="V959" s="66"/>
      <c r="W959" s="66"/>
    </row>
    <row r="960" spans="6:23" ht="12.75" customHeight="1">
      <c r="F960" s="66"/>
      <c r="G960" s="66"/>
      <c r="H960" s="66"/>
      <c r="I960" s="66"/>
      <c r="J960" s="376"/>
      <c r="Q960" s="66"/>
      <c r="R960" s="66"/>
      <c r="V960" s="66"/>
      <c r="W960" s="66"/>
    </row>
    <row r="961" spans="6:23" ht="12.75" customHeight="1">
      <c r="F961" s="66"/>
      <c r="G961" s="66"/>
      <c r="H961" s="66"/>
      <c r="I961" s="66"/>
      <c r="J961" s="376"/>
      <c r="Q961" s="66"/>
      <c r="R961" s="66"/>
      <c r="V961" s="66"/>
      <c r="W961" s="66"/>
    </row>
    <row r="962" spans="6:23" ht="12.75" customHeight="1">
      <c r="F962" s="66"/>
      <c r="G962" s="66"/>
      <c r="H962" s="66"/>
      <c r="I962" s="66"/>
      <c r="J962" s="376"/>
      <c r="Q962" s="66"/>
      <c r="R962" s="66"/>
      <c r="V962" s="66"/>
      <c r="W962" s="66"/>
    </row>
    <row r="963" spans="6:23" ht="12.75" customHeight="1">
      <c r="F963" s="66"/>
      <c r="G963" s="66"/>
      <c r="H963" s="66"/>
      <c r="I963" s="66"/>
      <c r="J963" s="376"/>
      <c r="Q963" s="66"/>
      <c r="R963" s="66"/>
      <c r="V963" s="66"/>
      <c r="W963" s="66"/>
    </row>
    <row r="964" spans="6:23" ht="12.75" customHeight="1">
      <c r="F964" s="66"/>
      <c r="G964" s="66"/>
      <c r="H964" s="66"/>
      <c r="I964" s="66"/>
      <c r="J964" s="376"/>
      <c r="Q964" s="66"/>
      <c r="R964" s="66"/>
      <c r="V964" s="66"/>
      <c r="W964" s="66"/>
    </row>
    <row r="965" spans="6:23" ht="12.75" customHeight="1">
      <c r="F965" s="66"/>
      <c r="G965" s="66"/>
      <c r="H965" s="66"/>
      <c r="I965" s="66"/>
      <c r="J965" s="376"/>
      <c r="Q965" s="66"/>
      <c r="R965" s="66"/>
      <c r="V965" s="66"/>
      <c r="W965" s="66"/>
    </row>
    <row r="966" spans="6:23" ht="12.75" customHeight="1">
      <c r="F966" s="66"/>
      <c r="G966" s="66"/>
      <c r="H966" s="66"/>
      <c r="I966" s="66"/>
      <c r="J966" s="376"/>
      <c r="Q966" s="66"/>
      <c r="R966" s="66"/>
      <c r="V966" s="66"/>
      <c r="W966" s="66"/>
    </row>
    <row r="967" spans="6:23" ht="12.75" customHeight="1">
      <c r="F967" s="66"/>
      <c r="G967" s="66"/>
      <c r="H967" s="66"/>
      <c r="I967" s="66"/>
      <c r="J967" s="376"/>
      <c r="Q967" s="66"/>
      <c r="R967" s="66"/>
      <c r="V967" s="66"/>
      <c r="W967" s="66"/>
    </row>
    <row r="968" spans="6:23" ht="12.75" customHeight="1">
      <c r="F968" s="66"/>
      <c r="G968" s="66"/>
      <c r="H968" s="66"/>
      <c r="I968" s="66"/>
      <c r="J968" s="376"/>
      <c r="Q968" s="66"/>
      <c r="R968" s="66"/>
      <c r="V968" s="66"/>
      <c r="W968" s="66"/>
    </row>
    <row r="969" spans="6:23" ht="12.75" customHeight="1">
      <c r="F969" s="66"/>
      <c r="G969" s="66"/>
      <c r="H969" s="66"/>
      <c r="I969" s="66"/>
      <c r="J969" s="376"/>
      <c r="Q969" s="66"/>
      <c r="R969" s="66"/>
      <c r="V969" s="66"/>
      <c r="W969" s="66"/>
    </row>
    <row r="970" spans="6:23" ht="12.75" customHeight="1">
      <c r="F970" s="66"/>
      <c r="G970" s="66"/>
      <c r="H970" s="66"/>
      <c r="I970" s="66"/>
      <c r="J970" s="376"/>
      <c r="Q970" s="66"/>
      <c r="R970" s="66"/>
      <c r="V970" s="66"/>
      <c r="W970" s="66"/>
    </row>
    <row r="971" spans="6:23" ht="12.75" customHeight="1">
      <c r="F971" s="66"/>
      <c r="G971" s="66"/>
      <c r="H971" s="66"/>
      <c r="I971" s="66"/>
      <c r="J971" s="376"/>
      <c r="Q971" s="66"/>
      <c r="R971" s="66"/>
      <c r="V971" s="66"/>
      <c r="W971" s="66"/>
    </row>
    <row r="972" spans="6:23" ht="12.75" customHeight="1">
      <c r="F972" s="66"/>
      <c r="G972" s="66"/>
      <c r="H972" s="66"/>
      <c r="I972" s="66"/>
      <c r="J972" s="376"/>
      <c r="Q972" s="66"/>
      <c r="R972" s="66"/>
      <c r="V972" s="66"/>
      <c r="W972" s="66"/>
    </row>
    <row r="973" spans="6:23" ht="12.75" customHeight="1">
      <c r="F973" s="66"/>
      <c r="G973" s="66"/>
      <c r="H973" s="66"/>
      <c r="I973" s="66"/>
      <c r="J973" s="376"/>
      <c r="Q973" s="66"/>
      <c r="R973" s="66"/>
      <c r="V973" s="66"/>
      <c r="W973" s="66"/>
    </row>
    <row r="974" spans="6:23" ht="12.75" customHeight="1">
      <c r="F974" s="66"/>
      <c r="G974" s="66"/>
      <c r="H974" s="66"/>
      <c r="I974" s="66"/>
      <c r="J974" s="376"/>
      <c r="Q974" s="66"/>
      <c r="R974" s="66"/>
      <c r="V974" s="66"/>
      <c r="W974" s="66"/>
    </row>
    <row r="975" spans="6:23" ht="12.75" customHeight="1">
      <c r="F975" s="66"/>
      <c r="G975" s="66"/>
      <c r="H975" s="66"/>
      <c r="I975" s="66"/>
      <c r="J975" s="376"/>
      <c r="Q975" s="66"/>
      <c r="R975" s="66"/>
      <c r="V975" s="66"/>
      <c r="W975" s="66"/>
    </row>
    <row r="976" spans="6:23" ht="12.75" customHeight="1">
      <c r="F976" s="66"/>
      <c r="G976" s="66"/>
      <c r="H976" s="66"/>
      <c r="I976" s="66"/>
      <c r="J976" s="376"/>
      <c r="Q976" s="66"/>
      <c r="R976" s="66"/>
      <c r="V976" s="66"/>
      <c r="W976" s="66"/>
    </row>
    <row r="977" spans="6:23" ht="12.75" customHeight="1">
      <c r="F977" s="66"/>
      <c r="G977" s="66"/>
      <c r="H977" s="66"/>
      <c r="I977" s="66"/>
      <c r="J977" s="376"/>
      <c r="Q977" s="66"/>
      <c r="R977" s="66"/>
      <c r="V977" s="66"/>
      <c r="W977" s="66"/>
    </row>
    <row r="978" spans="6:23" ht="12.75" customHeight="1">
      <c r="F978" s="66"/>
      <c r="G978" s="66"/>
      <c r="H978" s="66"/>
      <c r="I978" s="66"/>
      <c r="J978" s="376"/>
      <c r="Q978" s="66"/>
      <c r="R978" s="66"/>
      <c r="V978" s="66"/>
      <c r="W978" s="66"/>
    </row>
    <row r="979" spans="6:23" ht="12.75" customHeight="1">
      <c r="F979" s="66"/>
      <c r="G979" s="66"/>
      <c r="H979" s="66"/>
      <c r="I979" s="66"/>
      <c r="J979" s="376"/>
      <c r="Q979" s="66"/>
      <c r="R979" s="66"/>
      <c r="V979" s="66"/>
      <c r="W979" s="66"/>
    </row>
    <row r="980" spans="6:23" ht="12.75" customHeight="1">
      <c r="F980" s="66"/>
      <c r="G980" s="66"/>
      <c r="H980" s="66"/>
      <c r="I980" s="66"/>
      <c r="J980" s="376"/>
      <c r="Q980" s="66"/>
      <c r="R980" s="66"/>
      <c r="V980" s="66"/>
      <c r="W980" s="66"/>
    </row>
    <row r="981" spans="6:23" ht="12.75" customHeight="1">
      <c r="F981" s="66"/>
      <c r="G981" s="66"/>
      <c r="H981" s="66"/>
      <c r="I981" s="66"/>
      <c r="J981" s="376"/>
      <c r="Q981" s="66"/>
      <c r="R981" s="66"/>
      <c r="V981" s="66"/>
      <c r="W981" s="66"/>
    </row>
    <row r="982" spans="6:23" ht="12.75" customHeight="1">
      <c r="F982" s="66"/>
      <c r="G982" s="66"/>
      <c r="H982" s="66"/>
      <c r="I982" s="66"/>
      <c r="J982" s="376"/>
      <c r="Q982" s="66"/>
      <c r="R982" s="66"/>
      <c r="V982" s="66"/>
      <c r="W982" s="66"/>
    </row>
    <row r="983" spans="6:23" ht="12.75" customHeight="1">
      <c r="F983" s="66"/>
      <c r="G983" s="66"/>
      <c r="H983" s="66"/>
      <c r="I983" s="66"/>
      <c r="J983" s="376"/>
      <c r="Q983" s="66"/>
      <c r="R983" s="66"/>
      <c r="V983" s="66"/>
      <c r="W983" s="66"/>
    </row>
    <row r="984" spans="6:23" ht="12.75" customHeight="1">
      <c r="F984" s="66"/>
      <c r="G984" s="66"/>
      <c r="H984" s="66"/>
      <c r="I984" s="66"/>
      <c r="J984" s="376"/>
      <c r="Q984" s="66"/>
      <c r="R984" s="66"/>
      <c r="V984" s="66"/>
      <c r="W984" s="66"/>
    </row>
    <row r="985" spans="6:23" ht="12.75" customHeight="1">
      <c r="F985" s="66"/>
      <c r="G985" s="66"/>
      <c r="H985" s="66"/>
      <c r="I985" s="66"/>
      <c r="J985" s="376"/>
      <c r="Q985" s="66"/>
      <c r="R985" s="66"/>
      <c r="V985" s="66"/>
      <c r="W985" s="66"/>
    </row>
    <row r="986" spans="6:23" ht="12.75" customHeight="1">
      <c r="F986" s="66"/>
      <c r="G986" s="66"/>
      <c r="H986" s="66"/>
      <c r="I986" s="66"/>
      <c r="J986" s="376"/>
      <c r="Q986" s="66"/>
      <c r="R986" s="66"/>
      <c r="V986" s="66"/>
      <c r="W986" s="66"/>
    </row>
    <row r="987" spans="6:23" ht="12.75" customHeight="1">
      <c r="F987" s="66"/>
      <c r="G987" s="66"/>
      <c r="H987" s="66"/>
      <c r="I987" s="66"/>
      <c r="J987" s="376"/>
      <c r="Q987" s="66"/>
      <c r="R987" s="66"/>
      <c r="V987" s="66"/>
      <c r="W987" s="66"/>
    </row>
    <row r="988" spans="6:23" ht="12.75" customHeight="1">
      <c r="F988" s="66"/>
      <c r="G988" s="66"/>
      <c r="H988" s="66"/>
      <c r="I988" s="66"/>
      <c r="J988" s="376"/>
      <c r="Q988" s="66"/>
      <c r="R988" s="66"/>
      <c r="V988" s="66"/>
      <c r="W988" s="66"/>
    </row>
    <row r="989" spans="6:23" ht="12.75" customHeight="1">
      <c r="F989" s="66"/>
      <c r="G989" s="66"/>
      <c r="H989" s="66"/>
      <c r="I989" s="66"/>
      <c r="J989" s="376"/>
      <c r="Q989" s="66"/>
      <c r="R989" s="66"/>
      <c r="V989" s="66"/>
      <c r="W989" s="66"/>
    </row>
    <row r="990" spans="6:23" ht="12.75" customHeight="1">
      <c r="F990" s="66"/>
      <c r="G990" s="66"/>
      <c r="H990" s="66"/>
      <c r="I990" s="66"/>
      <c r="J990" s="376"/>
      <c r="Q990" s="66"/>
      <c r="R990" s="66"/>
      <c r="V990" s="66"/>
      <c r="W990" s="66"/>
    </row>
    <row r="991" spans="6:23" ht="12.75" customHeight="1">
      <c r="F991" s="66"/>
      <c r="G991" s="66"/>
      <c r="H991" s="66"/>
      <c r="I991" s="66"/>
      <c r="J991" s="376"/>
      <c r="Q991" s="66"/>
      <c r="R991" s="66"/>
      <c r="V991" s="66"/>
      <c r="W991" s="66"/>
    </row>
    <row r="992" spans="6:23" ht="12.75" customHeight="1">
      <c r="F992" s="66"/>
      <c r="G992" s="66"/>
      <c r="H992" s="66"/>
      <c r="I992" s="66"/>
      <c r="J992" s="376"/>
      <c r="Q992" s="66"/>
      <c r="R992" s="66"/>
      <c r="V992" s="66"/>
      <c r="W992" s="66"/>
    </row>
    <row r="993" spans="6:23" ht="12.75" customHeight="1">
      <c r="F993" s="66"/>
      <c r="G993" s="66"/>
      <c r="H993" s="66"/>
      <c r="I993" s="66"/>
      <c r="J993" s="376"/>
      <c r="Q993" s="66"/>
      <c r="R993" s="66"/>
      <c r="V993" s="66"/>
      <c r="W993" s="66"/>
    </row>
    <row r="994" spans="6:23" ht="12.75" customHeight="1">
      <c r="F994" s="66"/>
      <c r="G994" s="66"/>
      <c r="H994" s="66"/>
      <c r="I994" s="66"/>
      <c r="J994" s="376"/>
      <c r="Q994" s="66"/>
      <c r="R994" s="66"/>
      <c r="V994" s="66"/>
      <c r="W994" s="66"/>
    </row>
    <row r="995" spans="6:23" ht="12.75" customHeight="1">
      <c r="F995" s="66"/>
      <c r="G995" s="66"/>
      <c r="H995" s="66"/>
      <c r="I995" s="66"/>
      <c r="J995" s="376"/>
      <c r="Q995" s="66"/>
      <c r="R995" s="66"/>
      <c r="V995" s="66"/>
      <c r="W995" s="66"/>
    </row>
    <row r="996" spans="6:23" ht="12.75" customHeight="1">
      <c r="F996" s="66"/>
      <c r="G996" s="66"/>
      <c r="H996" s="66"/>
      <c r="I996" s="66"/>
      <c r="J996" s="376"/>
      <c r="Q996" s="66"/>
      <c r="R996" s="66"/>
      <c r="V996" s="66"/>
      <c r="W996" s="66"/>
    </row>
    <row r="997" spans="6:23" ht="12.75" customHeight="1">
      <c r="F997" s="66"/>
      <c r="G997" s="66"/>
      <c r="H997" s="66"/>
      <c r="I997" s="66"/>
      <c r="J997" s="376"/>
      <c r="Q997" s="66"/>
      <c r="R997" s="66"/>
      <c r="V997" s="66"/>
      <c r="W997" s="66"/>
    </row>
    <row r="998" spans="6:23" ht="12.75" customHeight="1">
      <c r="F998" s="66"/>
      <c r="G998" s="66"/>
      <c r="H998" s="66"/>
      <c r="I998" s="66"/>
      <c r="J998" s="376"/>
      <c r="Q998" s="66"/>
      <c r="R998" s="66"/>
      <c r="V998" s="66"/>
      <c r="W998" s="66"/>
    </row>
    <row r="999" spans="6:23" ht="12.75" customHeight="1">
      <c r="F999" s="66"/>
      <c r="G999" s="66"/>
      <c r="H999" s="66"/>
      <c r="I999" s="66"/>
      <c r="J999" s="376"/>
      <c r="Q999" s="66"/>
      <c r="R999" s="66"/>
      <c r="V999" s="66"/>
      <c r="W999" s="66"/>
    </row>
    <row r="1000" spans="6:23" ht="12.75" customHeight="1">
      <c r="F1000" s="66"/>
      <c r="G1000" s="66"/>
      <c r="H1000" s="66"/>
      <c r="I1000" s="66"/>
      <c r="J1000" s="376"/>
      <c r="Q1000" s="66"/>
      <c r="R1000" s="66"/>
      <c r="V1000" s="66"/>
      <c r="W1000" s="66"/>
    </row>
  </sheetData>
  <mergeCells count="55">
    <mergeCell ref="K27:N27"/>
    <mergeCell ref="K28:N28"/>
    <mergeCell ref="K37:N37"/>
    <mergeCell ref="K17:N17"/>
    <mergeCell ref="K18:N18"/>
    <mergeCell ref="K19:N19"/>
    <mergeCell ref="K20:N20"/>
    <mergeCell ref="K22:N22"/>
    <mergeCell ref="K23:N23"/>
    <mergeCell ref="K24:N24"/>
    <mergeCell ref="K14:N14"/>
    <mergeCell ref="K15:N15"/>
    <mergeCell ref="K16:N16"/>
    <mergeCell ref="K25:N25"/>
    <mergeCell ref="K26:N26"/>
    <mergeCell ref="A11:C11"/>
    <mergeCell ref="K11:N11"/>
    <mergeCell ref="K13:N13"/>
    <mergeCell ref="K5:N5"/>
    <mergeCell ref="K7:N7"/>
    <mergeCell ref="K10:N10"/>
    <mergeCell ref="K12:N12"/>
    <mergeCell ref="A7:C7"/>
    <mergeCell ref="A8:C8"/>
    <mergeCell ref="K8:N8"/>
    <mergeCell ref="B9:C9"/>
    <mergeCell ref="K9:N9"/>
    <mergeCell ref="K4:V4"/>
    <mergeCell ref="T5:U5"/>
    <mergeCell ref="V5:W5"/>
    <mergeCell ref="A4:F4"/>
    <mergeCell ref="D5:E5"/>
    <mergeCell ref="F5:G5"/>
    <mergeCell ref="H5:I5"/>
    <mergeCell ref="O5:P5"/>
    <mergeCell ref="Q5:R5"/>
    <mergeCell ref="A1:G1"/>
    <mergeCell ref="K1:W1"/>
    <mergeCell ref="A2:F2"/>
    <mergeCell ref="K2:V2"/>
    <mergeCell ref="A3:F3"/>
    <mergeCell ref="K3:V3"/>
    <mergeCell ref="B35:C35"/>
    <mergeCell ref="B13:C13"/>
    <mergeCell ref="B14:C14"/>
    <mergeCell ref="B15:C15"/>
    <mergeCell ref="A17:C17"/>
    <mergeCell ref="B21:C21"/>
    <mergeCell ref="B22:C22"/>
    <mergeCell ref="B25:C25"/>
    <mergeCell ref="B28:C28"/>
    <mergeCell ref="B29:C29"/>
    <mergeCell ref="B30:C30"/>
    <mergeCell ref="B31:C31"/>
    <mergeCell ref="B32:C32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4:A36"/>
  <sheetViews>
    <sheetView workbookViewId="0"/>
  </sheetViews>
  <sheetFormatPr baseColWidth="10" defaultColWidth="12.5703125" defaultRowHeight="15.75" customHeight="1"/>
  <cols>
    <col min="1" max="1" width="26.85546875" customWidth="1"/>
  </cols>
  <sheetData>
    <row r="4" spans="1:1">
      <c r="A4" s="58" t="s">
        <v>1</v>
      </c>
    </row>
    <row r="5" spans="1:1">
      <c r="A5" s="58" t="s">
        <v>6</v>
      </c>
    </row>
    <row r="6" spans="1:1">
      <c r="A6" s="368" t="s">
        <v>574</v>
      </c>
    </row>
    <row r="7" spans="1:1">
      <c r="A7" s="58" t="s">
        <v>575</v>
      </c>
    </row>
    <row r="8" spans="1:1">
      <c r="A8" s="58" t="s">
        <v>11</v>
      </c>
    </row>
    <row r="9" spans="1:1">
      <c r="A9" s="58" t="s">
        <v>576</v>
      </c>
    </row>
    <row r="10" spans="1:1">
      <c r="A10" s="58" t="s">
        <v>577</v>
      </c>
    </row>
    <row r="11" spans="1:1">
      <c r="A11" s="58" t="s">
        <v>578</v>
      </c>
    </row>
    <row r="12" spans="1:1">
      <c r="A12" s="58" t="s">
        <v>579</v>
      </c>
    </row>
    <row r="13" spans="1:1">
      <c r="A13" s="58" t="s">
        <v>580</v>
      </c>
    </row>
    <row r="14" spans="1:1">
      <c r="A14" s="58" t="s">
        <v>581</v>
      </c>
    </row>
    <row r="15" spans="1:1">
      <c r="A15" s="58" t="s">
        <v>582</v>
      </c>
    </row>
    <row r="16" spans="1:1">
      <c r="A16" s="368" t="s">
        <v>583</v>
      </c>
    </row>
    <row r="17" spans="1:1">
      <c r="A17" s="368" t="s">
        <v>584</v>
      </c>
    </row>
    <row r="18" spans="1:1">
      <c r="A18" s="58" t="s">
        <v>585</v>
      </c>
    </row>
    <row r="19" spans="1:1">
      <c r="A19" s="58" t="s">
        <v>586</v>
      </c>
    </row>
    <row r="20" spans="1:1">
      <c r="A20" s="58" t="s">
        <v>587</v>
      </c>
    </row>
    <row r="21" spans="1:1">
      <c r="A21" s="58" t="s">
        <v>588</v>
      </c>
    </row>
    <row r="22" spans="1:1">
      <c r="A22" s="58" t="s">
        <v>589</v>
      </c>
    </row>
    <row r="23" spans="1:1">
      <c r="A23" s="58" t="s">
        <v>590</v>
      </c>
    </row>
    <row r="24" spans="1:1">
      <c r="A24" s="58" t="s">
        <v>591</v>
      </c>
    </row>
    <row r="25" spans="1:1">
      <c r="A25" s="58" t="s">
        <v>592</v>
      </c>
    </row>
    <row r="26" spans="1:1">
      <c r="A26" s="58" t="s">
        <v>12</v>
      </c>
    </row>
    <row r="27" spans="1:1">
      <c r="A27" s="368" t="s">
        <v>593</v>
      </c>
    </row>
    <row r="28" spans="1:1">
      <c r="A28" s="368" t="s">
        <v>594</v>
      </c>
    </row>
    <row r="29" spans="1:1">
      <c r="A29" s="58" t="s">
        <v>595</v>
      </c>
    </row>
    <row r="30" spans="1:1">
      <c r="A30" s="58" t="s">
        <v>596</v>
      </c>
    </row>
    <row r="31" spans="1:1">
      <c r="A31" s="58" t="s">
        <v>597</v>
      </c>
    </row>
    <row r="32" spans="1:1">
      <c r="A32" s="58" t="s">
        <v>598</v>
      </c>
    </row>
    <row r="33" spans="1:1">
      <c r="A33" s="58" t="s">
        <v>599</v>
      </c>
    </row>
    <row r="34" spans="1:1">
      <c r="A34" s="58" t="s">
        <v>600</v>
      </c>
    </row>
    <row r="35" spans="1:1">
      <c r="A35" s="368" t="s">
        <v>601</v>
      </c>
    </row>
    <row r="36" spans="1:1">
      <c r="A36" s="368" t="s">
        <v>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O1040"/>
  <sheetViews>
    <sheetView workbookViewId="0"/>
  </sheetViews>
  <sheetFormatPr baseColWidth="10" defaultColWidth="12.5703125" defaultRowHeight="15.75" customHeight="1"/>
  <cols>
    <col min="1" max="1" width="11.42578125" customWidth="1"/>
    <col min="2" max="2" width="9.42578125" customWidth="1"/>
    <col min="3" max="3" width="11.5703125" customWidth="1"/>
    <col min="4" max="4" width="13.5703125" customWidth="1"/>
    <col min="5" max="5" width="11.42578125" customWidth="1"/>
    <col min="6" max="8" width="11.28515625" customWidth="1"/>
    <col min="9" max="9" width="10.7109375" customWidth="1"/>
    <col min="10" max="10" width="11.28515625" customWidth="1"/>
    <col min="11" max="11" width="10.28515625" customWidth="1"/>
    <col min="12" max="12" width="11.42578125" customWidth="1"/>
    <col min="13" max="13" width="11.85546875" customWidth="1"/>
    <col min="14" max="14" width="14.85546875" customWidth="1"/>
    <col min="15" max="15" width="22.140625" customWidth="1"/>
    <col min="16" max="16" width="15.140625" customWidth="1"/>
    <col min="17" max="18" width="11.42578125" customWidth="1"/>
    <col min="19" max="19" width="11" customWidth="1"/>
    <col min="20" max="20" width="16" customWidth="1"/>
    <col min="21" max="21" width="14.85546875" customWidth="1"/>
    <col min="22" max="22" width="11" customWidth="1"/>
    <col min="23" max="23" width="11.28515625" customWidth="1"/>
  </cols>
  <sheetData>
    <row r="1" spans="1:41" ht="15" customHeight="1">
      <c r="A1" s="465" t="s">
        <v>61</v>
      </c>
      <c r="B1" s="468" t="s">
        <v>62</v>
      </c>
      <c r="C1" s="459"/>
      <c r="D1" s="63" t="s">
        <v>63</v>
      </c>
      <c r="E1" s="468" t="s">
        <v>64</v>
      </c>
      <c r="F1" s="458"/>
      <c r="G1" s="64" t="s">
        <v>63</v>
      </c>
      <c r="H1" s="469" t="s">
        <v>65</v>
      </c>
      <c r="I1" s="470"/>
      <c r="J1" s="65"/>
      <c r="M1" s="66"/>
      <c r="N1" s="66"/>
      <c r="O1" s="62" t="s">
        <v>66</v>
      </c>
      <c r="P1" s="67">
        <f>H7</f>
        <v>5</v>
      </c>
      <c r="Q1" s="68">
        <f>P1+100</f>
        <v>105</v>
      </c>
      <c r="R1" s="69"/>
      <c r="S1" s="70"/>
      <c r="T1" s="70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</row>
    <row r="2" spans="1:41" ht="15" customHeight="1">
      <c r="A2" s="466"/>
      <c r="B2" s="71" t="s">
        <v>56</v>
      </c>
      <c r="C2" s="72">
        <f>E34</f>
        <v>1365772.53</v>
      </c>
      <c r="D2" s="71"/>
      <c r="E2" s="71" t="s">
        <v>56</v>
      </c>
      <c r="F2" s="72">
        <f>H34</f>
        <v>3010887.727</v>
      </c>
      <c r="G2" s="71"/>
      <c r="H2" s="73" t="s">
        <v>56</v>
      </c>
      <c r="I2" s="74">
        <f>L33</f>
        <v>-1645115.1969999999</v>
      </c>
      <c r="J2" s="71"/>
      <c r="M2" s="66"/>
      <c r="N2" s="66"/>
      <c r="O2" s="75" t="s">
        <v>67</v>
      </c>
      <c r="P2" s="76" t="s">
        <v>68</v>
      </c>
      <c r="Q2" s="58" t="s">
        <v>69</v>
      </c>
      <c r="R2" s="69" t="s">
        <v>70</v>
      </c>
      <c r="S2" s="72"/>
      <c r="T2" s="70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</row>
    <row r="3" spans="1:41" ht="15" customHeight="1">
      <c r="A3" s="466"/>
      <c r="B3" s="71" t="s">
        <v>54</v>
      </c>
      <c r="C3" s="72">
        <f>E52</f>
        <v>4500</v>
      </c>
      <c r="D3" s="71"/>
      <c r="E3" s="71" t="s">
        <v>54</v>
      </c>
      <c r="F3" s="72">
        <f>H52</f>
        <v>431573.31</v>
      </c>
      <c r="G3" s="71"/>
      <c r="H3" s="73" t="s">
        <v>54</v>
      </c>
      <c r="I3" s="77">
        <f>M51</f>
        <v>-427073.30999999994</v>
      </c>
      <c r="J3" s="71"/>
      <c r="M3" s="66"/>
      <c r="N3" s="66"/>
      <c r="O3" s="78" t="s">
        <v>71</v>
      </c>
      <c r="P3" s="79">
        <f>HLOOKUP($P$1,PRESUPUESTO!$D$1:$AN$23,4,FALSE)</f>
        <v>98500</v>
      </c>
      <c r="Q3" s="79">
        <f>HLOOKUP($Q$1,PRESUPUESTO!$D$1:$AN$23,4,FALSE)</f>
        <v>65000</v>
      </c>
      <c r="R3" s="79">
        <f t="shared" ref="R3:R22" si="0">P3-Q3</f>
        <v>33500</v>
      </c>
      <c r="S3" s="72"/>
      <c r="T3" s="70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</row>
    <row r="4" spans="1:41" ht="15" customHeight="1">
      <c r="A4" s="466"/>
      <c r="B4" s="71" t="s">
        <v>72</v>
      </c>
      <c r="C4" s="72">
        <f>E70</f>
        <v>316702.68</v>
      </c>
      <c r="D4" s="71"/>
      <c r="E4" s="71" t="s">
        <v>72</v>
      </c>
      <c r="F4" s="72">
        <f>I70</f>
        <v>1081175.3</v>
      </c>
      <c r="G4" s="71"/>
      <c r="H4" s="73" t="s">
        <v>72</v>
      </c>
      <c r="I4" s="77">
        <f>P69</f>
        <v>-764472.62</v>
      </c>
      <c r="J4" s="71"/>
      <c r="M4" s="66"/>
      <c r="N4" s="66"/>
      <c r="O4" s="78" t="s">
        <v>73</v>
      </c>
      <c r="P4" s="79">
        <f>HLOOKUP($P$1,PRESUPUESTO!$D$1:$AN$23,5,FALSE)</f>
        <v>12203.033408103725</v>
      </c>
      <c r="Q4" s="79">
        <f>HLOOKUP($Q$1,PRESUPUESTO!$D$1:$AN$23,5,FALSE)</f>
        <v>4717.79</v>
      </c>
      <c r="R4" s="79">
        <f t="shared" si="0"/>
        <v>7485.2434081037254</v>
      </c>
      <c r="S4" s="72"/>
      <c r="T4" s="70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</row>
    <row r="5" spans="1:41" ht="15" customHeight="1">
      <c r="A5" s="466"/>
      <c r="B5" s="71"/>
      <c r="C5" s="80">
        <f>SUM(C2:C4)</f>
        <v>1686975.21</v>
      </c>
      <c r="D5" s="81"/>
      <c r="E5" s="71"/>
      <c r="F5" s="80">
        <f>SUM(F2:F4)</f>
        <v>4523636.3370000003</v>
      </c>
      <c r="G5" s="81"/>
      <c r="H5" s="82"/>
      <c r="I5" s="83">
        <f>SUM(I2:I4)</f>
        <v>-2836661.1269999999</v>
      </c>
      <c r="J5" s="71"/>
      <c r="M5" s="66"/>
      <c r="N5" s="66"/>
      <c r="O5" s="78" t="s">
        <v>74</v>
      </c>
      <c r="P5" s="79">
        <f>HLOOKUP($P$1,PRESUPUESTO!$D$1:$AN$23,6,FALSE)</f>
        <v>1411.4841975373315</v>
      </c>
      <c r="Q5" s="79">
        <f>HLOOKUP($Q$1,PRESUPUESTO!$D$1:$AN$23,6,FALSE)</f>
        <v>555.02</v>
      </c>
      <c r="R5" s="79">
        <f t="shared" si="0"/>
        <v>856.46419753733153</v>
      </c>
      <c r="S5" s="72"/>
      <c r="T5" s="70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</row>
    <row r="6" spans="1:41" ht="15" customHeight="1">
      <c r="A6" s="466"/>
      <c r="D6" s="69"/>
      <c r="E6" s="69"/>
      <c r="F6" s="69"/>
      <c r="G6" s="69"/>
      <c r="H6" s="69"/>
      <c r="I6" s="69"/>
      <c r="M6" s="66"/>
      <c r="N6" s="66"/>
      <c r="O6" s="78" t="s">
        <v>75</v>
      </c>
      <c r="P6" s="79">
        <f>HLOOKUP($P$1,PRESUPUESTO!$D$1:$AN$23,7,FALSE)</f>
        <v>36602.500000000015</v>
      </c>
      <c r="Q6" s="79">
        <f>HLOOKUP($Q$1,PRESUPUESTO!$D$1:$AN$23,7,FALSE)</f>
        <v>3620.24</v>
      </c>
      <c r="R6" s="79">
        <f t="shared" si="0"/>
        <v>32982.260000000017</v>
      </c>
      <c r="S6" s="72"/>
      <c r="T6" s="70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</row>
    <row r="7" spans="1:41" ht="15" customHeight="1">
      <c r="A7" s="466"/>
      <c r="B7" s="468" t="s">
        <v>76</v>
      </c>
      <c r="C7" s="459"/>
      <c r="E7" s="468" t="s">
        <v>77</v>
      </c>
      <c r="F7" s="458"/>
      <c r="G7" s="459"/>
      <c r="H7" s="471">
        <v>5</v>
      </c>
      <c r="I7" s="472"/>
      <c r="M7" s="66"/>
      <c r="N7" s="66"/>
      <c r="O7" s="78" t="s">
        <v>78</v>
      </c>
      <c r="P7" s="79">
        <f>HLOOKUP($P$1,PRESUPUESTO!$D$1:$AN$23,8,FALSE)</f>
        <v>16524.941073473798</v>
      </c>
      <c r="Q7" s="79">
        <f>HLOOKUP($Q$1,PRESUPUESTO!$D$1:$AN$23,8,FALSE)</f>
        <v>0</v>
      </c>
      <c r="R7" s="79">
        <f t="shared" si="0"/>
        <v>16524.941073473798</v>
      </c>
      <c r="S7" s="72"/>
      <c r="T7" s="70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</row>
    <row r="8" spans="1:41" ht="15" customHeight="1">
      <c r="A8" s="466"/>
      <c r="B8" s="84" t="s">
        <v>79</v>
      </c>
      <c r="C8" s="71"/>
      <c r="D8" s="60">
        <v>10000</v>
      </c>
      <c r="F8" s="71"/>
      <c r="G8" s="71"/>
      <c r="H8" s="463">
        <f>P23</f>
        <v>664512.86118770472</v>
      </c>
      <c r="I8" s="459"/>
      <c r="M8" s="66"/>
      <c r="N8" s="66"/>
      <c r="O8" s="78" t="s">
        <v>80</v>
      </c>
      <c r="P8" s="79">
        <f>HLOOKUP($P$1,PRESUPUESTO!$D$1:$AN$23,9,FALSE)</f>
        <v>12711.493133441383</v>
      </c>
      <c r="Q8" s="79">
        <f>HLOOKUP($Q$1,PRESUPUESTO!$D$1:$AN$23,9,FALSE)</f>
        <v>4684</v>
      </c>
      <c r="R8" s="79">
        <f t="shared" si="0"/>
        <v>8027.4931334413832</v>
      </c>
      <c r="S8" s="72"/>
      <c r="T8" s="70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</row>
    <row r="9" spans="1:41" ht="15" customHeight="1">
      <c r="A9" s="466"/>
      <c r="B9" s="71">
        <v>1000</v>
      </c>
      <c r="C9" s="71">
        <v>230</v>
      </c>
      <c r="D9" s="60">
        <f t="shared" ref="D9:D15" si="1">B9*C9</f>
        <v>230000</v>
      </c>
      <c r="F9" s="85"/>
      <c r="G9" s="86" t="s">
        <v>81</v>
      </c>
      <c r="H9" s="464">
        <f t="shared" ref="H9:H10" si="2">P25</f>
        <v>1661282.1529692619</v>
      </c>
      <c r="I9" s="459"/>
      <c r="M9" s="66"/>
      <c r="N9" s="66"/>
      <c r="O9" s="78" t="s">
        <v>82</v>
      </c>
      <c r="P9" s="79">
        <f>HLOOKUP($P$1,PRESUPUESTO!$D$1:$AN$23,10,FALSE)</f>
        <v>12711.493133441383</v>
      </c>
      <c r="Q9" s="79">
        <f>HLOOKUP($Q$1,PRESUPUESTO!$D$1:$AN$23,10,FALSE)</f>
        <v>1967</v>
      </c>
      <c r="R9" s="79">
        <f t="shared" si="0"/>
        <v>10744.493133441383</v>
      </c>
      <c r="S9" s="72"/>
      <c r="T9" s="87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</row>
    <row r="10" spans="1:41" ht="15" customHeight="1">
      <c r="A10" s="466"/>
      <c r="B10" s="71">
        <v>500</v>
      </c>
      <c r="C10" s="71">
        <v>60</v>
      </c>
      <c r="D10" s="60">
        <f t="shared" si="1"/>
        <v>30000</v>
      </c>
      <c r="F10" s="84"/>
      <c r="G10" s="84" t="s">
        <v>83</v>
      </c>
      <c r="H10" s="473">
        <f t="shared" si="2"/>
        <v>63895.467421894689</v>
      </c>
      <c r="I10" s="456"/>
      <c r="M10" s="66"/>
      <c r="N10" s="66"/>
      <c r="O10" s="78" t="s">
        <v>84</v>
      </c>
      <c r="P10" s="79">
        <f>HLOOKUP($P$1,PRESUPUESTO!$D$1:$AN$23,11,FALSE)</f>
        <v>3813.4479400324144</v>
      </c>
      <c r="Q10" s="79">
        <f>HLOOKUP($Q$1,PRESUPUESTO!$D$1:$AN$23,11,FALSE)</f>
        <v>0</v>
      </c>
      <c r="R10" s="79">
        <f t="shared" si="0"/>
        <v>3813.4479400324144</v>
      </c>
      <c r="S10" s="72"/>
      <c r="T10" s="87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</row>
    <row r="11" spans="1:41" ht="15" customHeight="1">
      <c r="A11" s="466"/>
      <c r="B11" s="71">
        <v>200</v>
      </c>
      <c r="C11" s="71">
        <v>30</v>
      </c>
      <c r="D11" s="60">
        <f t="shared" si="1"/>
        <v>6000</v>
      </c>
      <c r="G11" s="88" t="s">
        <v>85</v>
      </c>
      <c r="H11" s="474">
        <f>P23/26</f>
        <v>25558.186968757873</v>
      </c>
      <c r="I11" s="456"/>
      <c r="M11" s="66"/>
      <c r="N11" s="66"/>
      <c r="O11" s="78" t="s">
        <v>86</v>
      </c>
      <c r="P11" s="79">
        <f>HLOOKUP($P$1,PRESUPUESTO!$D$1:$AN$23,12,FALSE)</f>
        <v>1271.1493133441384</v>
      </c>
      <c r="Q11" s="79">
        <f>HLOOKUP($Q$1,PRESUPUESTO!$D$1:$AN$23,12,FALSE)</f>
        <v>360</v>
      </c>
      <c r="R11" s="79">
        <f t="shared" si="0"/>
        <v>911.14931334413836</v>
      </c>
      <c r="S11" s="72"/>
      <c r="T11" s="87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</row>
    <row r="12" spans="1:41" ht="15" customHeight="1">
      <c r="A12" s="466"/>
      <c r="B12" s="71">
        <v>100</v>
      </c>
      <c r="C12" s="71">
        <v>110</v>
      </c>
      <c r="D12" s="60">
        <f t="shared" si="1"/>
        <v>11000</v>
      </c>
      <c r="M12" s="66"/>
      <c r="N12" s="66"/>
      <c r="O12" s="78" t="s">
        <v>87</v>
      </c>
      <c r="P12" s="79">
        <f>HLOOKUP($P$1,PRESUPUESTO!$D$1:$AN$23,13,FALSE)</f>
        <v>2542.2986266882767</v>
      </c>
      <c r="Q12" s="79">
        <f>HLOOKUP($Q$1,PRESUPUESTO!$D$1:$AN$23,13,FALSE)</f>
        <v>0</v>
      </c>
      <c r="R12" s="79">
        <f t="shared" si="0"/>
        <v>2542.2986266882767</v>
      </c>
      <c r="S12" s="72"/>
      <c r="T12" s="87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</row>
    <row r="13" spans="1:41" ht="15" customHeight="1">
      <c r="A13" s="466"/>
      <c r="B13" s="84">
        <v>50</v>
      </c>
      <c r="C13" s="71">
        <v>5</v>
      </c>
      <c r="D13" s="60">
        <f t="shared" si="1"/>
        <v>250</v>
      </c>
      <c r="E13" s="69"/>
      <c r="F13" s="69"/>
      <c r="G13" s="69"/>
      <c r="H13" s="69"/>
      <c r="I13" s="69"/>
      <c r="J13" s="69"/>
      <c r="K13" s="69"/>
      <c r="M13" s="66"/>
      <c r="N13" s="66"/>
      <c r="O13" s="78" t="s">
        <v>88</v>
      </c>
      <c r="P13" s="79">
        <f>HLOOKUP($P$1,PRESUPUESTO!$D$1:$AN$23,14,FALSE)</f>
        <v>2542.2986266882767</v>
      </c>
      <c r="Q13" s="79">
        <f>HLOOKUP($Q$1,PRESUPUESTO!$D$1:$AN$23,14,FALSE)</f>
        <v>0</v>
      </c>
      <c r="R13" s="79">
        <f t="shared" si="0"/>
        <v>2542.2986266882767</v>
      </c>
      <c r="S13" s="72"/>
      <c r="T13" s="87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</row>
    <row r="14" spans="1:41" ht="15" customHeight="1">
      <c r="A14" s="467"/>
      <c r="B14" s="84">
        <v>20</v>
      </c>
      <c r="C14" s="71">
        <v>35</v>
      </c>
      <c r="D14" s="60">
        <f t="shared" si="1"/>
        <v>700</v>
      </c>
      <c r="E14" s="69"/>
      <c r="F14" s="69"/>
      <c r="G14" s="69"/>
      <c r="H14" s="69"/>
      <c r="I14" s="69"/>
      <c r="J14" s="69"/>
      <c r="K14" s="69"/>
      <c r="M14" s="66"/>
      <c r="N14" s="66"/>
      <c r="O14" s="78" t="s">
        <v>89</v>
      </c>
      <c r="P14" s="79">
        <f>HLOOKUP($P$1,PRESUPUESTO!$D$1:$AN$23,15,FALSE)</f>
        <v>6355.7465667206916</v>
      </c>
      <c r="Q14" s="79">
        <f>HLOOKUP($Q$1,PRESUPUESTO!$D$1:$AN$23,15,FALSE)</f>
        <v>0</v>
      </c>
      <c r="R14" s="79">
        <f t="shared" si="0"/>
        <v>6355.7465667206916</v>
      </c>
      <c r="S14" s="72"/>
      <c r="T14" s="87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</row>
    <row r="15" spans="1:41" ht="15" customHeight="1">
      <c r="A15" s="69"/>
      <c r="B15" s="84">
        <v>10</v>
      </c>
      <c r="C15" s="84">
        <v>17</v>
      </c>
      <c r="D15" s="90">
        <f t="shared" si="1"/>
        <v>170</v>
      </c>
      <c r="F15" s="69"/>
      <c r="G15" s="69"/>
      <c r="H15" s="69"/>
      <c r="I15" s="69"/>
      <c r="J15" s="69"/>
      <c r="K15" s="69"/>
      <c r="L15" s="69"/>
      <c r="M15" s="69"/>
      <c r="N15" s="69"/>
      <c r="O15" s="78" t="s">
        <v>90</v>
      </c>
      <c r="P15" s="79">
        <f>HLOOKUP($P$1,PRESUPUESTO!$D$1:$AN$23,16,FALSE)</f>
        <v>21670</v>
      </c>
      <c r="Q15" s="79">
        <f>HLOOKUP($Q$1,PRESUPUESTO!$D$1:$AN$23,16,FALSE)</f>
        <v>0</v>
      </c>
      <c r="R15" s="79">
        <f t="shared" si="0"/>
        <v>21670</v>
      </c>
      <c r="S15" s="72"/>
      <c r="T15" s="87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</row>
    <row r="16" spans="1:41" ht="15" customHeight="1">
      <c r="A16" s="69"/>
      <c r="B16" s="91" t="s">
        <v>91</v>
      </c>
      <c r="C16" s="84"/>
      <c r="D16" s="92">
        <v>0</v>
      </c>
      <c r="F16" s="69"/>
      <c r="G16" s="69"/>
      <c r="H16" s="69"/>
      <c r="I16" s="69"/>
      <c r="J16" s="69"/>
      <c r="K16" s="69"/>
      <c r="L16" s="69"/>
      <c r="M16" s="69"/>
      <c r="N16" s="69"/>
      <c r="O16" s="78" t="s">
        <v>92</v>
      </c>
      <c r="P16" s="79">
        <f>HLOOKUP($P$1,PRESUPUESTO!$D$1:$AN$23,17,FALSE)</f>
        <v>2796.5284893571043</v>
      </c>
      <c r="Q16" s="79">
        <f>HLOOKUP($Q$1,PRESUPUESTO!$D$1:$AN$23,17,FALSE)</f>
        <v>20.29</v>
      </c>
      <c r="R16" s="79">
        <f t="shared" si="0"/>
        <v>2776.2384893571043</v>
      </c>
      <c r="S16" s="72"/>
      <c r="T16" s="87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</row>
    <row r="17" spans="1:41" ht="15" customHeight="1">
      <c r="A17" s="71"/>
      <c r="B17" s="71"/>
      <c r="C17" s="71"/>
      <c r="D17" s="93">
        <f>SUM(D8:D16)</f>
        <v>288120</v>
      </c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8" t="s">
        <v>93</v>
      </c>
      <c r="P17" s="79">
        <f>HLOOKUP($P$1,PRESUPUESTO!$D$1:$AN$23,18,FALSE)</f>
        <v>2796.5284893571043</v>
      </c>
      <c r="Q17" s="79">
        <f>HLOOKUP($Q$1,PRESUPUESTO!$D$1:$AN$23,18,FALSE)</f>
        <v>0</v>
      </c>
      <c r="R17" s="79">
        <f t="shared" si="0"/>
        <v>2796.5284893571043</v>
      </c>
      <c r="S17" s="94"/>
      <c r="T17" s="94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</row>
    <row r="18" spans="1:41" ht="15" customHeight="1">
      <c r="A18" s="69" t="s">
        <v>94</v>
      </c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8" t="s">
        <v>95</v>
      </c>
      <c r="P18" s="79">
        <f>HLOOKUP($P$1,PRESUPUESTO!$D$1:$AN$23,19,FALSE)</f>
        <v>2796.5284893571043</v>
      </c>
      <c r="Q18" s="79">
        <f>HLOOKUP($Q$1,PRESUPUESTO!$D$1:$AN$23,19,FALSE)</f>
        <v>0</v>
      </c>
      <c r="R18" s="79">
        <f t="shared" si="0"/>
        <v>2796.5284893571043</v>
      </c>
      <c r="S18" s="87"/>
      <c r="T18" s="87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</row>
    <row r="19" spans="1:41" ht="15" customHeight="1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8" t="s">
        <v>96</v>
      </c>
      <c r="P19" s="79">
        <f>HLOOKUP($P$1,PRESUPUESTO!$D$1:$AN$23,20,FALSE)</f>
        <v>6355.7465667206916</v>
      </c>
      <c r="Q19" s="79">
        <f>HLOOKUP($Q$1,PRESUPUESTO!$D$1:$AN$23,20,FALSE)</f>
        <v>0</v>
      </c>
      <c r="R19" s="79">
        <f t="shared" si="0"/>
        <v>6355.7465667206916</v>
      </c>
      <c r="S19" s="87"/>
      <c r="T19" s="87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</row>
    <row r="20" spans="1:41" ht="15" customHeight="1">
      <c r="A20" s="95"/>
      <c r="B20" s="96" t="s">
        <v>3</v>
      </c>
      <c r="C20" s="97" t="s">
        <v>4</v>
      </c>
      <c r="D20" s="63" t="s">
        <v>5</v>
      </c>
      <c r="E20" s="63" t="s">
        <v>6</v>
      </c>
      <c r="F20" s="63" t="s">
        <v>9</v>
      </c>
      <c r="G20" s="63" t="s">
        <v>11</v>
      </c>
      <c r="H20" s="63" t="s">
        <v>12</v>
      </c>
      <c r="I20" s="63" t="s">
        <v>13</v>
      </c>
      <c r="J20" s="63" t="s">
        <v>14</v>
      </c>
      <c r="K20" s="63" t="s">
        <v>97</v>
      </c>
      <c r="L20" s="63" t="s">
        <v>98</v>
      </c>
      <c r="M20" s="89"/>
      <c r="N20" s="89"/>
      <c r="O20" s="78" t="s">
        <v>99</v>
      </c>
      <c r="P20" s="79">
        <f>HLOOKUP($P$1,PRESUPUESTO!$D$1:$AN$23,21,FALSE)</f>
        <v>6355.7465667206916</v>
      </c>
      <c r="Q20" s="79">
        <f>HLOOKUP($Q$1,PRESUPUESTO!$D$1:$AN$23,21,FALSE)</f>
        <v>0</v>
      </c>
      <c r="R20" s="79">
        <f t="shared" si="0"/>
        <v>6355.7465667206916</v>
      </c>
      <c r="S20" s="87"/>
      <c r="T20" s="87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</row>
    <row r="21" spans="1:41" ht="15" customHeight="1">
      <c r="A21" s="66" t="s">
        <v>19</v>
      </c>
      <c r="B21" s="98">
        <v>44676</v>
      </c>
      <c r="C21" s="98">
        <v>44705</v>
      </c>
      <c r="D21" s="72">
        <v>0</v>
      </c>
      <c r="E21" s="72">
        <f>SUMIFS(VENTAS!$N$7:$N1040,VENTAS!$A$7:$A1040,"&gt;="&amp;B21,VENTAS!$A$7:$A1040,"&lt;="&amp;C21)</f>
        <v>0</v>
      </c>
      <c r="F21" s="72">
        <f>SUMIFS(OGI!$L$6:$L1040,OGI!$J$6:$J1040,"&gt;="&amp;B21,OGI!$J$6:$J1040,"&lt;="&amp;C21)</f>
        <v>0</v>
      </c>
      <c r="G21" s="72">
        <f>SUMIFS(COMPRAS!$E$5:$E1039,COMPRAS!$A$5:$A1039,"&gt;="&amp;B21,COMPRAS!$A$5:$A1039,"&lt;="&amp;C21)</f>
        <v>0</v>
      </c>
      <c r="H21" s="72">
        <f>SUMIFS(INSUMOS!$F$5:$F1040,INSUMOS!$A$5:$A1040,"&gt;="&amp;$B21,INSUMOS!$A$5:$A1040,"&lt;="&amp;$C21)</f>
        <v>23614.240000000002</v>
      </c>
      <c r="I21" s="72">
        <f>SUMIFS(SIC!$E$5:$E1041,SIC!$A$5:$A1041,"&gt;="&amp;$B21,SIC!$A$5:$A1041,"&lt;="&amp;$C21)</f>
        <v>76220.05</v>
      </c>
      <c r="J21" s="72">
        <f>SUELDOS!J$8</f>
        <v>28020</v>
      </c>
      <c r="K21" s="72">
        <f>SUMIFS(OGI!$C$6:$C1040,OGI!$A$6:$A1040,"&gt;="&amp;$B21,OGI!$A$6:$A1040,"&lt;="&amp;$C21)</f>
        <v>0</v>
      </c>
      <c r="L21" s="72">
        <f t="shared" ref="L21:L32" si="3">(D21+E21+F21)-(G21+H21+I21+J21+K21)</f>
        <v>-127854.29000000001</v>
      </c>
      <c r="M21" s="71"/>
      <c r="N21" s="71"/>
      <c r="O21" s="78" t="s">
        <v>100</v>
      </c>
      <c r="P21" s="79">
        <f>HLOOKUP($P$1,PRESUPUESTO!$D$1:$AN$23,22,FALSE)</f>
        <v>8551.8965667206921</v>
      </c>
      <c r="Q21" s="79">
        <f>HLOOKUP($Q$1,PRESUPUESTO!$D$1:$AN$23,22,FALSE)</f>
        <v>23614.240000000002</v>
      </c>
      <c r="R21" s="79">
        <f t="shared" si="0"/>
        <v>-15062.343433279309</v>
      </c>
      <c r="S21" s="87"/>
      <c r="T21" s="87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</row>
    <row r="22" spans="1:41" ht="15" customHeight="1">
      <c r="A22" s="66" t="s">
        <v>20</v>
      </c>
      <c r="B22" s="98">
        <v>44706</v>
      </c>
      <c r="C22" s="98">
        <v>44736</v>
      </c>
      <c r="D22" s="72">
        <f t="shared" ref="D22:D32" si="4">L21</f>
        <v>-127854.29000000001</v>
      </c>
      <c r="E22" s="72">
        <f>SUMIFS(VENTAS!$N$7:$N1040,VENTAS!$A$7:$A1040,"&gt;="&amp;B22,VENTAS!$A$7:$A1040,"&lt;="&amp;C22)</f>
        <v>0</v>
      </c>
      <c r="F22" s="72">
        <f>SUMIFS(OGI!$L$6:$L1040,OGI!$J$6:$J1040,"&gt;="&amp;B22,OGI!$J$6:$J1040,"&lt;="&amp;C22)</f>
        <v>4200</v>
      </c>
      <c r="G22" s="72">
        <f>SUMIFS(COMPRAS!$E$5:$E1039,COMPRAS!$A$5:$A1039,"&gt;="&amp;B22,COMPRAS!$A$5:$A1039,"&lt;="&amp;C22)</f>
        <v>0</v>
      </c>
      <c r="H22" s="72">
        <f>SUMIFS(INSUMOS!$F$5:$F1040,INSUMOS!$A$5:$A1040,"&gt;="&amp;$B22,INSUMOS!$A$5:$A1040,"&lt;="&amp;$C22)</f>
        <v>1207.29</v>
      </c>
      <c r="I22" s="72">
        <f>SUMIFS(SIC!$E$5:$E1041,SIC!$A$5:$A1041,"&gt;="&amp;$B22,SIC!$A$5:$A1041,"&lt;="&amp;$C22)</f>
        <v>66860</v>
      </c>
      <c r="J22" s="72">
        <f>SUELDOS!J$15</f>
        <v>96430</v>
      </c>
      <c r="K22" s="72">
        <f>SUMIFS(OGI!$C$6:$C1040,OGI!$A$6:$A1040,"&gt;="&amp;$B22,OGI!$A$6:$A1040,"&lt;="&amp;$C22)</f>
        <v>4500</v>
      </c>
      <c r="L22" s="72">
        <f t="shared" si="3"/>
        <v>-292651.57999999996</v>
      </c>
      <c r="M22" s="71"/>
      <c r="N22" s="71"/>
      <c r="O22" s="78" t="s">
        <v>101</v>
      </c>
      <c r="P22" s="79">
        <f>HLOOKUP($P$1,PRESUPUESTO!$D$1:$AN$23,23,FALSE)</f>
        <v>406000</v>
      </c>
      <c r="Q22" s="79">
        <f>HLOOKUP($Q$1,PRESUPUESTO!$D$1:$AN$23,23,FALSE)</f>
        <v>28020</v>
      </c>
      <c r="R22" s="79">
        <f t="shared" si="0"/>
        <v>377980</v>
      </c>
      <c r="S22" s="87"/>
      <c r="T22" s="87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</row>
    <row r="23" spans="1:41" ht="15" customHeight="1">
      <c r="A23" s="66" t="s">
        <v>21</v>
      </c>
      <c r="B23" s="98">
        <v>44737</v>
      </c>
      <c r="C23" s="98">
        <v>44766</v>
      </c>
      <c r="D23" s="72">
        <f t="shared" si="4"/>
        <v>-292651.57999999996</v>
      </c>
      <c r="E23" s="72">
        <f>SUMIFS(VENTAS!$N$7:$N1040,VENTAS!$A$7:$A1040,"&gt;="&amp;B23,VENTAS!$A$7:$A1040,"&lt;="&amp;C23)</f>
        <v>0</v>
      </c>
      <c r="F23" s="72">
        <f>SUMIFS(OGI!$L$6:$L1040,OGI!$J$6:$J1040,"&gt;="&amp;B23,OGI!$J$6:$J1040,"&lt;="&amp;C23)</f>
        <v>779600</v>
      </c>
      <c r="G23" s="72">
        <f>SUMIFS(COMPRAS!$E$5:$E1039,COMPRAS!$A$5:$A1039,"&gt;="&amp;B23,COMPRAS!$A$5:$A1039,"&lt;="&amp;C23)</f>
        <v>0</v>
      </c>
      <c r="H23" s="72">
        <f>SUMIFS(INSUMOS!$F$5:$F1040,INSUMOS!$A$5:$A1040,"&gt;="&amp;$B23,INSUMOS!$A$5:$A1040,"&lt;="&amp;$C23)</f>
        <v>7963.84</v>
      </c>
      <c r="I23" s="72">
        <f>SUMIFS(SIC!$E$5:$E1041,SIC!$A$5:$A1041,"&gt;="&amp;$B23,SIC!$A$5:$A1041,"&lt;="&amp;$C23)</f>
        <v>66269.22</v>
      </c>
      <c r="J23" s="72">
        <f>SUELDOS!J$22</f>
        <v>140010</v>
      </c>
      <c r="K23" s="72">
        <f>SUMIFS(OGI!$C$6:$C1040,OGI!$A$6:$A1040,"&gt;="&amp;$B23,OGI!$A$6:$A1040,"&lt;="&amp;$C23)</f>
        <v>205236.2</v>
      </c>
      <c r="L23" s="72">
        <f t="shared" si="3"/>
        <v>67469.160000000033</v>
      </c>
      <c r="M23" s="71"/>
      <c r="N23" s="71"/>
      <c r="O23" s="78"/>
      <c r="P23" s="93">
        <f t="shared" ref="P23:R23" si="5">SUM(P3:P22)</f>
        <v>664512.86118770472</v>
      </c>
      <c r="Q23" s="93">
        <f t="shared" si="5"/>
        <v>132558.58000000002</v>
      </c>
      <c r="R23" s="93">
        <f t="shared" si="5"/>
        <v>531954.28118770476</v>
      </c>
      <c r="S23" s="87"/>
      <c r="T23" s="87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</row>
    <row r="24" spans="1:41" ht="15" customHeight="1">
      <c r="A24" s="66" t="s">
        <v>22</v>
      </c>
      <c r="B24" s="98">
        <v>44767</v>
      </c>
      <c r="C24" s="98">
        <v>44797</v>
      </c>
      <c r="D24" s="72">
        <f t="shared" si="4"/>
        <v>67469.160000000033</v>
      </c>
      <c r="E24" s="72">
        <f>SUMIFS(VENTAS!$N$7:$N1040,VENTAS!$A$7:$A1040,"&gt;="&amp;B24,VENTAS!$A$7:$A1040,"&lt;="&amp;C24)</f>
        <v>0</v>
      </c>
      <c r="F24" s="72">
        <f>SUMIFS(OGI!$L$6:$L1040,OGI!$J$6:$J1040,"&gt;="&amp;B24,OGI!$J$6:$J1040,"&lt;="&amp;C24)</f>
        <v>17896.53</v>
      </c>
      <c r="G24" s="72">
        <f>SUMIFS(COMPRAS!$E$5:$E1039,COMPRAS!$A$5:$A1039,"&gt;="&amp;B24,COMPRAS!$A$5:$A1039,"&lt;="&amp;C24)</f>
        <v>0</v>
      </c>
      <c r="H24" s="72">
        <f>SUMIFS(INSUMOS!$F$5:$F1040,INSUMOS!$A$5:$A1040,"&gt;="&amp;$B24,INSUMOS!$A$5:$A1040,"&lt;="&amp;$C24)</f>
        <v>8434.7800000000007</v>
      </c>
      <c r="I24" s="72">
        <f>SUMIFS(SIC!$E$5:$E1041,SIC!$A$5:$A1041,"&gt;="&amp;$B24,SIC!$A$5:$A1041,"&lt;="&amp;$C24)</f>
        <v>46500</v>
      </c>
      <c r="J24" s="72">
        <f>SUELDOS!J$29</f>
        <v>113010</v>
      </c>
      <c r="K24" s="72">
        <f>SUMIFS(OGI!$C$6:$C1040,OGI!$A$6:$A1040,"&gt;="&amp;$B24,OGI!$A$6:$A1040,"&lt;="&amp;$C24)</f>
        <v>1600</v>
      </c>
      <c r="L24" s="72">
        <f t="shared" si="3"/>
        <v>-84179.089999999967</v>
      </c>
      <c r="M24" s="71"/>
      <c r="N24" s="71"/>
      <c r="O24" s="86" t="s">
        <v>102</v>
      </c>
      <c r="P24" s="99">
        <f>PRESUPUESTO!C2</f>
        <v>40</v>
      </c>
      <c r="R24" s="79"/>
      <c r="S24" s="87"/>
      <c r="T24" s="87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</row>
    <row r="25" spans="1:41" ht="15" customHeight="1">
      <c r="A25" s="66" t="s">
        <v>23</v>
      </c>
      <c r="B25" s="98">
        <v>44798</v>
      </c>
      <c r="C25" s="98">
        <v>44828</v>
      </c>
      <c r="D25" s="72">
        <f t="shared" si="4"/>
        <v>-84179.089999999967</v>
      </c>
      <c r="E25" s="72">
        <f>SUMIFS(VENTAS!$N$7:$N1040,VENTAS!$A$7:$A1040,"&gt;="&amp;B25,VENTAS!$A$7:$A1040,"&lt;="&amp;C25)</f>
        <v>0</v>
      </c>
      <c r="F25" s="72">
        <f>SUMIFS(OGI!$L$6:$L1040,OGI!$J$6:$J1040,"&gt;="&amp;B25,OGI!$J$6:$J1040,"&lt;="&amp;C25)</f>
        <v>7650</v>
      </c>
      <c r="G25" s="72">
        <f>SUMIFS(COMPRAS!$E$5:$E1039,COMPRAS!$A$5:$A1039,"&gt;="&amp;B25,COMPRAS!$A$5:$A1039,"&lt;="&amp;C25)</f>
        <v>0</v>
      </c>
      <c r="H25" s="72">
        <f>SUMIFS(INSUMOS!$F$5:$F1040,INSUMOS!$A$5:$A1040,"&gt;="&amp;$B25,INSUMOS!$A$5:$A1040,"&lt;="&amp;$C25)</f>
        <v>18786.129999999997</v>
      </c>
      <c r="I25" s="72">
        <f>SUMIFS(SIC!$E$5:$E1041,SIC!$A$5:$A1041,"&gt;="&amp;$B25,SIC!$A$5:$A1041,"&lt;="&amp;$C25)</f>
        <v>80000</v>
      </c>
      <c r="J25" s="72">
        <f>SUELDOS!J$36</f>
        <v>125340</v>
      </c>
      <c r="K25" s="72">
        <f>SUMIFS(OGI!$C$6:$C1040,OGI!$A$6:$A1040,"&gt;="&amp;$B25,OGI!$A$6:$A1040,"&lt;="&amp;$C25)</f>
        <v>14020</v>
      </c>
      <c r="L25" s="72">
        <f t="shared" si="3"/>
        <v>-314675.21999999997</v>
      </c>
      <c r="M25" s="71"/>
      <c r="N25" s="71"/>
      <c r="O25" s="86" t="s">
        <v>81</v>
      </c>
      <c r="P25" s="100">
        <f>(P23*100)/P24</f>
        <v>1661282.1529692619</v>
      </c>
      <c r="R25" s="79"/>
      <c r="S25" s="71"/>
      <c r="T25" s="71"/>
      <c r="U25" s="101"/>
      <c r="V25" s="79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</row>
    <row r="26" spans="1:41" ht="15" customHeight="1">
      <c r="A26" s="66" t="s">
        <v>24</v>
      </c>
      <c r="B26" s="98">
        <v>44829</v>
      </c>
      <c r="C26" s="98">
        <v>44858</v>
      </c>
      <c r="D26" s="72">
        <f t="shared" si="4"/>
        <v>-314675.21999999997</v>
      </c>
      <c r="E26" s="72">
        <f>SUMIFS(VENTAS!$N$7:$N1040,VENTAS!$A$7:$A1040,"&gt;="&amp;B26,VENTAS!$A$7:$A1040,"&lt;="&amp;C26)</f>
        <v>0</v>
      </c>
      <c r="F26" s="72">
        <f>SUMIFS(OGI!$L$6:$L1040,OGI!$J$6:$J1040,"&gt;="&amp;B26,OGI!$J$6:$J1040,"&lt;="&amp;C26)</f>
        <v>10000</v>
      </c>
      <c r="G26" s="72">
        <f>SUMIFS(COMPRAS!$E$5:$E1039,COMPRAS!$A$5:$A1039,"&gt;="&amp;B26,COMPRAS!$A$5:$A1039,"&lt;="&amp;C26)</f>
        <v>0</v>
      </c>
      <c r="H26" s="72">
        <f>SUMIFS(INSUMOS!$F$5:$F1040,INSUMOS!$A$5:$A1040,"&gt;="&amp;$B26,INSUMOS!$A$5:$A1040,"&lt;="&amp;$C26)</f>
        <v>5246.74</v>
      </c>
      <c r="I26" s="72">
        <f>SUMIFS(SIC!$E$5:$E1041,SIC!$A$5:$A1041,"&gt;="&amp;$B26,SIC!$A$5:$A1041,"&lt;="&amp;$C26)</f>
        <v>80000</v>
      </c>
      <c r="J26" s="72">
        <f>SUELDOS!J$43</f>
        <v>83940</v>
      </c>
      <c r="K26" s="72">
        <f>SUMIFS(OGI!$C$6:$C1040,OGI!$A$6:$A1040,"&gt;="&amp;$B26,OGI!$A$6:$A1040,"&lt;="&amp;$C26)</f>
        <v>3200</v>
      </c>
      <c r="L26" s="72">
        <f t="shared" si="3"/>
        <v>-477061.95999999996</v>
      </c>
      <c r="M26" s="71"/>
      <c r="N26" s="71"/>
      <c r="O26" s="86" t="s">
        <v>103</v>
      </c>
      <c r="P26" s="100">
        <f>P25/26</f>
        <v>63895.467421894689</v>
      </c>
      <c r="R26" s="71"/>
      <c r="S26" s="71"/>
      <c r="T26" s="71"/>
      <c r="U26" s="101"/>
      <c r="V26" s="79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</row>
    <row r="27" spans="1:41" ht="15" customHeight="1">
      <c r="A27" s="66" t="s">
        <v>25</v>
      </c>
      <c r="B27" s="98">
        <v>44859</v>
      </c>
      <c r="C27" s="98">
        <v>44889</v>
      </c>
      <c r="D27" s="72">
        <f t="shared" si="4"/>
        <v>-477061.95999999996</v>
      </c>
      <c r="E27" s="72">
        <f>SUMIFS(VENTAS!$N$7:$N1040,VENTAS!$A$7:$A1040,"&gt;="&amp;B27,VENTAS!$A$7:$A1040,"&lt;="&amp;C27)</f>
        <v>0</v>
      </c>
      <c r="F27" s="72">
        <f>SUMIFS(OGI!$L$6:$L1040,OGI!$J$6:$J1040,"&gt;="&amp;B27,OGI!$J$6:$J1040,"&lt;="&amp;C27)</f>
        <v>0</v>
      </c>
      <c r="G27" s="72">
        <f>SUMIFS(COMPRAS!$E$5:$E1039,COMPRAS!$A$5:$A1039,"&gt;="&amp;B27,COMPRAS!$A$5:$A1039,"&lt;="&amp;C27)</f>
        <v>0</v>
      </c>
      <c r="H27" s="72">
        <f>SUMIFS(INSUMOS!$F$5:$F1040,INSUMOS!$A$5:$A1040,"&gt;="&amp;$B27,INSUMOS!$A$5:$A1040,"&lt;="&amp;$C27)</f>
        <v>13972.84</v>
      </c>
      <c r="I27" s="72">
        <f>SUMIFS(SIC!$E$5:$E1041,SIC!$A$5:$A1041,"&gt;="&amp;$B27,SIC!$A$5:$A1041,"&lt;="&amp;$C27)</f>
        <v>38500</v>
      </c>
      <c r="J27" s="72">
        <f>SUELDOS!J$50</f>
        <v>88320</v>
      </c>
      <c r="K27" s="72">
        <f>SUMIFS(OGI!$C$6:$C1040,OGI!$A$6:$A1040,"&gt;="&amp;$B27,OGI!$A$6:$A1040,"&lt;="&amp;$C27)</f>
        <v>0</v>
      </c>
      <c r="L27" s="72">
        <f t="shared" si="3"/>
        <v>-617854.79999999993</v>
      </c>
      <c r="M27" s="71"/>
      <c r="N27" s="71"/>
      <c r="O27" s="71"/>
      <c r="P27" s="100">
        <f>P23/26</f>
        <v>25558.186968757873</v>
      </c>
      <c r="R27" s="71"/>
      <c r="S27" s="89"/>
      <c r="T27" s="89"/>
      <c r="U27" s="101"/>
      <c r="V27" s="79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</row>
    <row r="28" spans="1:41" ht="15" customHeight="1">
      <c r="A28" s="66" t="s">
        <v>26</v>
      </c>
      <c r="B28" s="98">
        <v>44890</v>
      </c>
      <c r="C28" s="98">
        <v>44919</v>
      </c>
      <c r="D28" s="72">
        <f t="shared" si="4"/>
        <v>-617854.79999999993</v>
      </c>
      <c r="E28" s="72">
        <f>SUMIFS(VENTAS!$N$7:$N1040,VENTAS!$A$7:$A1040,"&gt;="&amp;B28,VENTAS!$A$7:$A1040,"&lt;="&amp;C28)</f>
        <v>0</v>
      </c>
      <c r="F28" s="72">
        <f>SUMIFS(OGI!$L$6:$L1040,OGI!$J$6:$J1040,"&gt;="&amp;B28,OGI!$J$6:$J1040,"&lt;="&amp;C28)</f>
        <v>0</v>
      </c>
      <c r="G28" s="72">
        <f>SUMIFS(COMPRAS!$E$5:$E1039,COMPRAS!$A$5:$A1039,"&gt;="&amp;B28,COMPRAS!$A$5:$A1039,"&lt;="&amp;C28)</f>
        <v>0</v>
      </c>
      <c r="H28" s="72">
        <f>SUMIFS(INSUMOS!$F$5:$F1040,INSUMOS!$A$5:$A1040,"&gt;="&amp;$B28,INSUMOS!$A$5:$A1040,"&lt;="&amp;$C28)</f>
        <v>5557.9500000000007</v>
      </c>
      <c r="I28" s="72">
        <f>SUMIFS(SIC!$E$5:$E1041,SIC!$A$5:$A1041,"&gt;="&amp;$B28,SIC!$A$5:$A1041,"&lt;="&amp;$C28)</f>
        <v>81800</v>
      </c>
      <c r="J28" s="72">
        <f>SUELDOS!J$57</f>
        <v>77730</v>
      </c>
      <c r="K28" s="72">
        <f>SUMIFS(OGI!$C$6:$C1040,OGI!$A$6:$A1040,"&gt;="&amp;$B28,OGI!$A$6:$A1040,"&lt;="&amp;$C28)</f>
        <v>4000</v>
      </c>
      <c r="L28" s="72">
        <f t="shared" si="3"/>
        <v>-786942.75</v>
      </c>
      <c r="M28" s="71"/>
      <c r="N28" s="71"/>
      <c r="O28" s="71"/>
      <c r="R28" s="71"/>
      <c r="S28" s="89"/>
      <c r="T28" s="89"/>
      <c r="U28" s="101"/>
      <c r="V28" s="79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</row>
    <row r="29" spans="1:41" ht="15" customHeight="1">
      <c r="A29" s="66" t="s">
        <v>27</v>
      </c>
      <c r="B29" s="98">
        <v>44920</v>
      </c>
      <c r="C29" s="98">
        <v>44950</v>
      </c>
      <c r="D29" s="72">
        <f t="shared" si="4"/>
        <v>-786942.75</v>
      </c>
      <c r="E29" s="72">
        <f>SUMIFS(VENTAS!$N$7:$N1040,VENTAS!$A$7:$A1040,"&gt;="&amp;B29,VENTAS!$A$7:$A1040,"&lt;="&amp;C29)</f>
        <v>0</v>
      </c>
      <c r="F29" s="72">
        <f>SUMIFS(OGI!$L$6:$L1040,OGI!$J$6:$J1040,"&gt;="&amp;B29,OGI!$J$6:$J1040,"&lt;="&amp;C29)</f>
        <v>0</v>
      </c>
      <c r="G29" s="72">
        <f>SUMIFS(COMPRAS!$E$5:$E1039,COMPRAS!$A$5:$A1039,"&gt;="&amp;B29,COMPRAS!$A$5:$A1039,"&lt;="&amp;C29)</f>
        <v>0</v>
      </c>
      <c r="H29" s="72">
        <f>SUMIFS(INSUMOS!$F$5:$F1040,INSUMOS!$A$5:$A1040,"&gt;="&amp;$B29,INSUMOS!$A$5:$A1040,"&lt;="&amp;$C29)</f>
        <v>35595.949999999997</v>
      </c>
      <c r="I29" s="72">
        <f>SUMIFS(SIC!$E$5:$E1041,SIC!$A$5:$A1041,"&gt;="&amp;$B29,SIC!$A$5:$A1041,"&lt;="&amp;$C29)</f>
        <v>80000</v>
      </c>
      <c r="J29" s="72">
        <f>SUELDOS!J$64</f>
        <v>60000</v>
      </c>
      <c r="K29" s="72">
        <f>SUMIFS(OGI!$C$6:$C1040,OGI!$A$6:$A1040,"&gt;="&amp;$B29,OGI!$A$6:$A1040,"&lt;="&amp;$C29)</f>
        <v>11600</v>
      </c>
      <c r="L29" s="72">
        <f t="shared" si="3"/>
        <v>-974138.7</v>
      </c>
      <c r="M29" s="71"/>
      <c r="N29" s="71"/>
      <c r="O29" s="71"/>
      <c r="R29" s="89"/>
      <c r="S29" s="89"/>
      <c r="T29" s="89"/>
      <c r="U29" s="101"/>
      <c r="V29" s="102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</row>
    <row r="30" spans="1:41" ht="15" customHeight="1">
      <c r="A30" s="66" t="s">
        <v>28</v>
      </c>
      <c r="B30" s="98">
        <v>44951</v>
      </c>
      <c r="C30" s="98">
        <v>44981</v>
      </c>
      <c r="D30" s="72">
        <f t="shared" si="4"/>
        <v>-974138.7</v>
      </c>
      <c r="E30" s="72">
        <f>SUMIFS(VENTAS!$N$7:$N1040,VENTAS!$A$7:$A1040,"&gt;="&amp;B30,VENTAS!$A$7:$A1040,"&lt;="&amp;C30)</f>
        <v>0</v>
      </c>
      <c r="F30" s="72">
        <f>SUMIFS(OGI!$L$6:$L1040,OGI!$J$6:$J1040,"&gt;="&amp;B30,OGI!$J$6:$J1040,"&lt;="&amp;C30)</f>
        <v>0</v>
      </c>
      <c r="G30" s="72">
        <f>SUMIFS(COMPRAS!$E$5:$E1039,COMPRAS!$A$5:$A1039,"&gt;="&amp;B30,COMPRAS!$A$5:$A1039,"&lt;="&amp;C30)</f>
        <v>0</v>
      </c>
      <c r="H30" s="72">
        <f>SUMIFS(INSUMOS!$F$5:$F1040,INSUMOS!$A$5:$A1040,"&gt;="&amp;$B30,INSUMOS!$A$5:$A1040,"&lt;="&amp;$C30)</f>
        <v>14138.787</v>
      </c>
      <c r="I30" s="72">
        <f>SUMIFS(SIC!$E$5:$E1041,SIC!$A$5:$A1041,"&gt;="&amp;$B30,SIC!$A$5:$A1041,"&lt;="&amp;$C30)</f>
        <v>42507.130000000005</v>
      </c>
      <c r="J30" s="72">
        <f>SUELDOS!J$71</f>
        <v>145210</v>
      </c>
      <c r="K30" s="72">
        <f>SUMIFS(OGI!$C$6:$C1040,OGI!$A$6:$A1040,"&gt;="&amp;$B30,OGI!$A$6:$A1040,"&lt;="&amp;$C30)</f>
        <v>1000</v>
      </c>
      <c r="L30" s="72">
        <f t="shared" si="3"/>
        <v>-1176994.6170000001</v>
      </c>
      <c r="M30" s="71"/>
      <c r="N30" s="71"/>
      <c r="O30" s="71"/>
      <c r="R30" s="71"/>
      <c r="S30" s="89"/>
      <c r="T30" s="89"/>
      <c r="U30" s="101"/>
      <c r="V30" s="79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</row>
    <row r="31" spans="1:41" ht="15" customHeight="1">
      <c r="A31" s="66" t="s">
        <v>29</v>
      </c>
      <c r="B31" s="98">
        <v>44982</v>
      </c>
      <c r="C31" s="98">
        <v>45009</v>
      </c>
      <c r="D31" s="72">
        <f t="shared" si="4"/>
        <v>-1176994.6170000001</v>
      </c>
      <c r="E31" s="72">
        <f>SUMIFS(VENTAS!$N$7:$N1040,VENTAS!$A$7:$A1040,"&gt;="&amp;B31,VENTAS!$A$7:$A1040,"&lt;="&amp;C31)</f>
        <v>0</v>
      </c>
      <c r="F31" s="72">
        <f>SUMIFS(OGI!$L$6:$L1040,OGI!$J$6:$J1040,"&gt;="&amp;B31,OGI!$J$6:$J1040,"&lt;="&amp;C31)</f>
        <v>546426</v>
      </c>
      <c r="G31" s="72">
        <f>SUMIFS(COMPRAS!$E$5:$E1039,COMPRAS!$A$5:$A1039,"&gt;="&amp;B31,COMPRAS!$A$5:$A1039,"&lt;="&amp;C31)</f>
        <v>0</v>
      </c>
      <c r="H31" s="72">
        <f>SUMIFS(INSUMOS!$F$5:$F1040,INSUMOS!$A$5:$A1040,"&gt;="&amp;$B31,INSUMOS!$A$5:$A1040,"&lt;="&amp;$C31)</f>
        <v>6060</v>
      </c>
      <c r="I31" s="72">
        <f>SUMIFS(SIC!$E$5:$E1041,SIC!$A$5:$A1041,"&gt;="&amp;$B31,SIC!$A$5:$A1041,"&lt;="&amp;$C31)</f>
        <v>119894.38</v>
      </c>
      <c r="J31" s="72">
        <f>SUELDOS!J$79</f>
        <v>205500</v>
      </c>
      <c r="K31" s="72">
        <f>SUMIFS(OGI!$C$6:$C1040,OGI!$A$6:$A1040,"&gt;="&amp;$B31,OGI!$A$6:$A1040,"&lt;="&amp;$C31)</f>
        <v>444000</v>
      </c>
      <c r="L31" s="72">
        <f t="shared" si="3"/>
        <v>-1406022.997</v>
      </c>
      <c r="M31" s="71"/>
      <c r="N31" s="71"/>
      <c r="Q31" s="89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</row>
    <row r="32" spans="1:41" ht="15" customHeight="1">
      <c r="A32" s="66" t="s">
        <v>30</v>
      </c>
      <c r="B32" s="98">
        <v>45010</v>
      </c>
      <c r="C32" s="98">
        <v>45040</v>
      </c>
      <c r="D32" s="72">
        <f t="shared" si="4"/>
        <v>-1406022.997</v>
      </c>
      <c r="E32" s="72">
        <f>SUMIFS(VENTAS!$N$7:$N1040,VENTAS!$A$7:$A1040,"&gt;="&amp;B32,VENTAS!$A$7:$A1040,"&lt;="&amp;C32)</f>
        <v>0</v>
      </c>
      <c r="F32" s="72">
        <f>SUMIFS(OGI!$L$6:$L1040,OGI!$J$6:$J1040,"&gt;="&amp;B32,OGI!$J$6:$J1040,"&lt;="&amp;C32)</f>
        <v>0</v>
      </c>
      <c r="G32" s="72">
        <f>SUMIFS(COMPRAS!$E$5:$E1039,COMPRAS!$A$5:$A1039,"&gt;="&amp;B32,COMPRAS!$A$5:$A1039,"&lt;="&amp;C32)</f>
        <v>0</v>
      </c>
      <c r="H32" s="72">
        <f>SUMIFS(INSUMOS!$F$5:$F1040,INSUMOS!$A$5:$A1040,"&gt;="&amp;$B32,INSUMOS!$A$5:$A1040,"&lt;="&amp;$C32)</f>
        <v>0</v>
      </c>
      <c r="I32" s="72">
        <f>SUMIFS(SIC!$E$5:$E1041,SIC!$A$5:$A1041,"&gt;="&amp;$B32,SIC!$A$5:$A1041,"&lt;="&amp;$C32)</f>
        <v>472.2</v>
      </c>
      <c r="J32" s="72">
        <f>SUELDOS!J$86</f>
        <v>0</v>
      </c>
      <c r="K32" s="72">
        <f>SUMIFS(OGI!$C$6:$C1040,OGI!$A$6:$A1040,"&gt;="&amp;$B32,OGI!$A$6:$A1040,"&lt;="&amp;$C32)</f>
        <v>238620</v>
      </c>
      <c r="L32" s="72">
        <f t="shared" si="3"/>
        <v>-1645115.1969999999</v>
      </c>
      <c r="M32" s="71"/>
      <c r="N32" s="71"/>
      <c r="Q32" s="87"/>
      <c r="R32" s="87"/>
      <c r="S32" s="87"/>
      <c r="T32" s="71"/>
      <c r="U32" s="103"/>
      <c r="V32" s="104"/>
      <c r="W32" s="105"/>
      <c r="X32" s="106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</row>
    <row r="33" spans="1:41" ht="15" customHeight="1">
      <c r="A33" s="107"/>
      <c r="B33" s="108" t="s">
        <v>31</v>
      </c>
      <c r="C33" s="109"/>
      <c r="D33" s="72"/>
      <c r="E33" s="110">
        <f t="shared" ref="E33:I33" si="6">SUBTOTAL(9,E21:E32)</f>
        <v>0</v>
      </c>
      <c r="F33" s="110">
        <f t="shared" si="6"/>
        <v>1365772.53</v>
      </c>
      <c r="G33" s="110">
        <f t="shared" si="6"/>
        <v>0</v>
      </c>
      <c r="H33" s="110">
        <f t="shared" si="6"/>
        <v>140578.54699999999</v>
      </c>
      <c r="I33" s="110">
        <f t="shared" si="6"/>
        <v>779022.98</v>
      </c>
      <c r="J33" s="110">
        <f>SUBTOTAL(9,J21:J31)</f>
        <v>1163510</v>
      </c>
      <c r="K33" s="110">
        <f>SUBTOTAL(9,K21:K32)</f>
        <v>927776.2</v>
      </c>
      <c r="L33" s="111">
        <f>L32</f>
        <v>-1645115.1969999999</v>
      </c>
      <c r="M33" s="112">
        <f>D17</f>
        <v>288120</v>
      </c>
      <c r="N33" s="71"/>
      <c r="Q33" s="87"/>
      <c r="R33" s="87"/>
      <c r="S33" s="87"/>
      <c r="T33" s="71"/>
      <c r="U33" s="89"/>
      <c r="V33" s="84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</row>
    <row r="34" spans="1:41" ht="15" customHeight="1">
      <c r="A34" s="71"/>
      <c r="B34" s="71"/>
      <c r="C34" s="71"/>
      <c r="D34" s="71"/>
      <c r="E34" s="478">
        <f>E33+F33</f>
        <v>1365772.53</v>
      </c>
      <c r="F34" s="476"/>
      <c r="G34" s="476"/>
      <c r="H34" s="478">
        <f>SUM(G33:K33)</f>
        <v>3010887.727</v>
      </c>
      <c r="I34" s="476"/>
      <c r="J34" s="476"/>
      <c r="K34" s="477"/>
      <c r="L34" s="113"/>
      <c r="M34" s="112">
        <f>L33-M33</f>
        <v>-1933235.1969999999</v>
      </c>
      <c r="N34" s="71"/>
      <c r="Q34" s="87"/>
      <c r="R34" s="87"/>
      <c r="S34" s="87"/>
      <c r="T34" s="71"/>
      <c r="U34" s="89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</row>
    <row r="35" spans="1:41" ht="15" customHeight="1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Q35" s="87"/>
      <c r="R35" s="87"/>
      <c r="S35" s="114"/>
      <c r="T35" s="71"/>
      <c r="U35" s="89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</row>
    <row r="36" spans="1:41" ht="15" customHeight="1">
      <c r="A36" s="69" t="s">
        <v>104</v>
      </c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Q36" s="115"/>
      <c r="R36" s="60"/>
      <c r="S36" s="87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</row>
    <row r="37" spans="1:41" ht="15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R37" s="60"/>
      <c r="S37" s="87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</row>
    <row r="38" spans="1:41" ht="15" customHeight="1">
      <c r="A38" s="95"/>
      <c r="B38" s="96" t="s">
        <v>3</v>
      </c>
      <c r="C38" s="97" t="s">
        <v>4</v>
      </c>
      <c r="D38" s="63" t="s">
        <v>5</v>
      </c>
      <c r="E38" s="63" t="s">
        <v>6</v>
      </c>
      <c r="F38" s="63" t="s">
        <v>105</v>
      </c>
      <c r="G38" s="63" t="s">
        <v>9</v>
      </c>
      <c r="H38" s="63" t="s">
        <v>11</v>
      </c>
      <c r="I38" s="63" t="s">
        <v>12</v>
      </c>
      <c r="J38" s="63" t="s">
        <v>13</v>
      </c>
      <c r="K38" s="63" t="s">
        <v>14</v>
      </c>
      <c r="L38" s="63" t="s">
        <v>97</v>
      </c>
      <c r="M38" s="63" t="s">
        <v>98</v>
      </c>
      <c r="N38" s="89"/>
      <c r="O38" s="115"/>
      <c r="P38" s="115"/>
      <c r="R38" s="60"/>
      <c r="S38" s="87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</row>
    <row r="39" spans="1:41" ht="15" customHeight="1">
      <c r="A39" s="66" t="s">
        <v>19</v>
      </c>
      <c r="B39" s="98">
        <v>44676</v>
      </c>
      <c r="C39" s="98">
        <v>44705</v>
      </c>
      <c r="D39" s="72">
        <v>0</v>
      </c>
      <c r="E39" s="72">
        <f>SUMIFS(VENTAS!$Q$7:$Q1040,VENTAS!$A$7:$A1040,"&gt;="&amp;$B39,VENTAS!$A$7:$A1040,"&lt;="&amp;$C39)</f>
        <v>0</v>
      </c>
      <c r="F39" s="72"/>
      <c r="G39" s="72">
        <f>SUMIFS(OGI!$M$6:$M1040,OGI!$J$6:$J1040,"&gt;="&amp;$B39,OGI!$J$6:$J1040,"&lt;="&amp;$C39)</f>
        <v>0</v>
      </c>
      <c r="H39" s="72">
        <f>SUMIFS(COMPRAS!$F$5:$F1039,COMPRAS!$A$5:$A1039,"&gt;="&amp;$B39,COMPRAS!$A$5:$A1039,"&lt;="&amp;$C39)</f>
        <v>0</v>
      </c>
      <c r="I39" s="72">
        <f>SUMIFS(INSUMOS!$G$5:$G1040,INSUMOS!$A$5:$A1040,"&gt;="&amp;$B39,INSUMOS!$A$5:$A1040,"&lt;="&amp;$C39)</f>
        <v>0</v>
      </c>
      <c r="J39" s="72">
        <f>SUMIFS(SIC!$F$5:$F1041,SIC!$A$5:$A1041,"&gt;="&amp;$B39,SIC!$A$5:$A1041,"&lt;="&amp;$C39)</f>
        <v>0</v>
      </c>
      <c r="K39" s="72">
        <f>SUELDOS!K$8</f>
        <v>0</v>
      </c>
      <c r="L39" s="72">
        <f>SUMIFS(OGI!$D$6:$D1040,OGI!$A$6:$A1040,"&gt;="&amp;$B39,OGI!$A$6:$A1040,"&lt;="&amp;$C39)</f>
        <v>0</v>
      </c>
      <c r="M39" s="72">
        <f t="shared" ref="M39:M50" si="7">(D39+E39+F39+G39)-(H39+I39+J39+K39+L39)</f>
        <v>0</v>
      </c>
      <c r="N39" s="72"/>
      <c r="R39" s="60"/>
      <c r="S39" s="87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</row>
    <row r="40" spans="1:41" ht="15" customHeight="1">
      <c r="A40" s="66" t="s">
        <v>20</v>
      </c>
      <c r="B40" s="98">
        <v>44706</v>
      </c>
      <c r="C40" s="98">
        <v>44736</v>
      </c>
      <c r="D40" s="72">
        <f t="shared" ref="D40:D50" si="8">M39</f>
        <v>0</v>
      </c>
      <c r="E40" s="72">
        <f>SUMIFS(VENTAS!$Q$7:$Q1040,VENTAS!$A$7:$A1040,"&gt;="&amp;$B40,VENTAS!$A$7:$A1040,"&lt;="&amp;$C40)</f>
        <v>0</v>
      </c>
      <c r="F40" s="72"/>
      <c r="G40" s="72">
        <f>SUMIFS(OGI!$M$6:$M1040,OGI!$J$6:$J1040,"&gt;="&amp;$B40,OGI!$J$6:$J1040,"&lt;="&amp;$C40)</f>
        <v>0</v>
      </c>
      <c r="H40" s="72">
        <f>SUMIFS(COMPRAS!$F$5:$F1039,COMPRAS!$A$5:$A1039,"&gt;="&amp;$B40,COMPRAS!$A$5:$A1039,"&lt;="&amp;$C40)</f>
        <v>0</v>
      </c>
      <c r="I40" s="72">
        <f>SUMIFS(INSUMOS!$G$5:$G1040,INSUMOS!$A$5:$A1040,"&gt;="&amp;$B40,INSUMOS!$A$5:$A1040,"&lt;="&amp;$C40)</f>
        <v>0</v>
      </c>
      <c r="J40" s="72">
        <f>SUMIFS(SIC!$F$5:$F1041,SIC!$A$5:$A1041,"&gt;="&amp;$B40,SIC!$A$5:$A1041,"&lt;="&amp;$C40)</f>
        <v>4604.32</v>
      </c>
      <c r="K40" s="72">
        <f>SUELDOS!K$15</f>
        <v>0</v>
      </c>
      <c r="L40" s="72">
        <f>SUMIFS(OGI!$D$6:$D1040,OGI!$A$6:$A1040,"&gt;="&amp;$B40,OGI!$A$6:$A1040,"&lt;="&amp;$C40)</f>
        <v>6000</v>
      </c>
      <c r="M40" s="72">
        <f t="shared" si="7"/>
        <v>-10604.32</v>
      </c>
      <c r="N40" s="72"/>
      <c r="R40" s="60"/>
      <c r="S40" s="102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</row>
    <row r="41" spans="1:41" ht="15" customHeight="1">
      <c r="A41" s="66" t="s">
        <v>21</v>
      </c>
      <c r="B41" s="98">
        <v>44737</v>
      </c>
      <c r="C41" s="98">
        <v>44766</v>
      </c>
      <c r="D41" s="72">
        <f t="shared" si="8"/>
        <v>-10604.32</v>
      </c>
      <c r="E41" s="72">
        <f>SUMIFS(VENTAS!$Q$7:$Q1040,VENTAS!$A$7:$A1040,"&gt;="&amp;$B41,VENTAS!$A$7:$A1040,"&lt;="&amp;$C41)</f>
        <v>0</v>
      </c>
      <c r="F41" s="72"/>
      <c r="G41" s="72">
        <f>SUMIFS(OGI!$M$6:$M1040,OGI!$J$6:$J1040,"&gt;="&amp;$B41,OGI!$J$6:$J1040,"&lt;="&amp;$C41)</f>
        <v>0</v>
      </c>
      <c r="H41" s="72">
        <f>SUMIFS(COMPRAS!$F$5:$F1039,COMPRAS!$A$5:$A1039,"&gt;="&amp;$B41,COMPRAS!$A$5:$A1039,"&lt;="&amp;$C41)</f>
        <v>0</v>
      </c>
      <c r="I41" s="72">
        <f>SUMIFS(INSUMOS!$G$5:$G1040,INSUMOS!$A$5:$A1040,"&gt;="&amp;$B41,INSUMOS!$A$5:$A1040,"&lt;="&amp;$C41)</f>
        <v>0</v>
      </c>
      <c r="J41" s="72">
        <f>SUMIFS(SIC!$F$5:$F1041,SIC!$A$5:$A1041,"&gt;="&amp;$B41,SIC!$A$5:$A1041,"&lt;="&amp;$C41)</f>
        <v>3629.8600000000006</v>
      </c>
      <c r="K41" s="72">
        <f>SUELDOS!K$22</f>
        <v>0</v>
      </c>
      <c r="L41" s="72">
        <f>SUMIFS(OGI!$D$6:$D1040,OGI!$A$6:$A1040,"&gt;="&amp;$B41,OGI!$A$6:$A1040,"&lt;="&amp;$C41)</f>
        <v>11000</v>
      </c>
      <c r="M41" s="72">
        <f t="shared" si="7"/>
        <v>-25234.18</v>
      </c>
      <c r="N41" s="72"/>
      <c r="R41" s="60"/>
      <c r="S41" s="102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</row>
    <row r="42" spans="1:41" ht="15" customHeight="1">
      <c r="A42" s="66" t="s">
        <v>22</v>
      </c>
      <c r="B42" s="98">
        <v>44767</v>
      </c>
      <c r="C42" s="98">
        <v>44797</v>
      </c>
      <c r="D42" s="72">
        <f t="shared" si="8"/>
        <v>-25234.18</v>
      </c>
      <c r="E42" s="72">
        <f>SUMIFS(VENTAS!$Q$7:$Q1040,VENTAS!$A$7:$A1040,"&gt;="&amp;$B42,VENTAS!$A$7:$A1040,"&lt;="&amp;$C42)</f>
        <v>0</v>
      </c>
      <c r="F42" s="72"/>
      <c r="G42" s="72">
        <f>SUMIFS(OGI!$M$6:$M1040,OGI!$J$6:$J1040,"&gt;="&amp;$B42,OGI!$J$6:$J1040,"&lt;="&amp;$C42)</f>
        <v>0</v>
      </c>
      <c r="H42" s="72">
        <f>SUMIFS(COMPRAS!$F$5:$F1039,COMPRAS!$A$5:$A1039,"&gt;="&amp;$B42,COMPRAS!$A$5:$A1039,"&lt;="&amp;$C42)</f>
        <v>0</v>
      </c>
      <c r="I42" s="72">
        <f>SUMIFS(INSUMOS!$G$5:$G1040,INSUMOS!$A$5:$A1040,"&gt;="&amp;$B42,INSUMOS!$A$5:$A1040,"&lt;="&amp;$C42)</f>
        <v>0</v>
      </c>
      <c r="J42" s="72">
        <f>SUMIFS(SIC!$F$5:$F1041,SIC!$A$5:$A1041,"&gt;="&amp;$B42,SIC!$A$5:$A1041,"&lt;="&amp;$C42)</f>
        <v>43314.47</v>
      </c>
      <c r="K42" s="72">
        <f>SUELDOS!K$29</f>
        <v>0</v>
      </c>
      <c r="L42" s="72">
        <f>SUMIFS(OGI!$D$6:$D1040,OGI!$A$6:$A1040,"&gt;="&amp;$B42,OGI!$A$6:$A1040,"&lt;="&amp;$C42)</f>
        <v>0</v>
      </c>
      <c r="M42" s="72">
        <f t="shared" si="7"/>
        <v>-68548.649999999994</v>
      </c>
      <c r="N42" s="72"/>
      <c r="R42" s="60"/>
      <c r="S42" s="102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</row>
    <row r="43" spans="1:41" ht="15" customHeight="1">
      <c r="A43" s="66" t="s">
        <v>23</v>
      </c>
      <c r="B43" s="98">
        <v>44798</v>
      </c>
      <c r="C43" s="98">
        <v>44828</v>
      </c>
      <c r="D43" s="72">
        <f t="shared" si="8"/>
        <v>-68548.649999999994</v>
      </c>
      <c r="E43" s="72">
        <f>SUMIFS(VENTAS!$Q$7:$Q1040,VENTAS!$A$7:$A1040,"&gt;="&amp;$B43,VENTAS!$A$7:$A1040,"&lt;="&amp;$C43)</f>
        <v>0</v>
      </c>
      <c r="F43" s="72"/>
      <c r="G43" s="72">
        <f>SUMIFS(OGI!$M$6:$M1040,OGI!$J$6:$J1040,"&gt;="&amp;$B43,OGI!$J$6:$J1040,"&lt;="&amp;$C43)</f>
        <v>0</v>
      </c>
      <c r="H43" s="72">
        <f>SUMIFS(COMPRAS!$F$5:$F1039,COMPRAS!$A$5:$A1039,"&gt;="&amp;$B43,COMPRAS!$A$5:$A1039,"&lt;="&amp;$C43)</f>
        <v>0</v>
      </c>
      <c r="I43" s="72">
        <f>SUMIFS(INSUMOS!$G$5:$G1040,INSUMOS!$A$5:$A1040,"&gt;="&amp;$B43,INSUMOS!$A$5:$A1040,"&lt;="&amp;$C43)</f>
        <v>0</v>
      </c>
      <c r="J43" s="72">
        <f>SUMIFS(SIC!$F$5:$F1041,SIC!$A$5:$A1041,"&gt;="&amp;$B43,SIC!$A$5:$A1041,"&lt;="&amp;$C43)</f>
        <v>949.99000000000046</v>
      </c>
      <c r="K43" s="72">
        <f>SUELDOS!K$36</f>
        <v>0</v>
      </c>
      <c r="L43" s="72">
        <f>SUMIFS(OGI!$D$6:$D1040,OGI!$A$6:$A1040,"&gt;="&amp;$B43,OGI!$A$6:$A1040,"&lt;="&amp;$C43)</f>
        <v>0</v>
      </c>
      <c r="M43" s="72">
        <f t="shared" si="7"/>
        <v>-69498.64</v>
      </c>
      <c r="N43" s="71"/>
      <c r="R43" s="60"/>
      <c r="S43" s="102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</row>
    <row r="44" spans="1:41" ht="15" customHeight="1">
      <c r="A44" s="66" t="s">
        <v>24</v>
      </c>
      <c r="B44" s="98">
        <v>44829</v>
      </c>
      <c r="C44" s="98">
        <v>44858</v>
      </c>
      <c r="D44" s="72">
        <f t="shared" si="8"/>
        <v>-69498.64</v>
      </c>
      <c r="E44" s="72">
        <f>SUMIFS(VENTAS!$Q$7:$Q1040,VENTAS!$A$7:$A1040,"&gt;="&amp;$B44,VENTAS!$A$7:$A1040,"&lt;="&amp;$C44)</f>
        <v>0</v>
      </c>
      <c r="F44" s="72"/>
      <c r="G44" s="72">
        <f>SUMIFS(OGI!$M$6:$M1040,OGI!$J$6:$J1040,"&gt;="&amp;$B44,OGI!$J$6:$J1040,"&lt;="&amp;$C44)</f>
        <v>0</v>
      </c>
      <c r="H44" s="72">
        <f>SUMIFS(COMPRAS!$F$5:$F1039,COMPRAS!$A$5:$A1039,"&gt;="&amp;$B44,COMPRAS!$A$5:$A1039,"&lt;="&amp;$C44)</f>
        <v>0</v>
      </c>
      <c r="I44" s="72">
        <f>SUMIFS(INSUMOS!$G$5:$G1040,INSUMOS!$A$5:$A1040,"&gt;="&amp;$B44,INSUMOS!$A$5:$A1040,"&lt;="&amp;$C44)</f>
        <v>0</v>
      </c>
      <c r="J44" s="72">
        <f>SUMIFS(SIC!$F$5:$F1041,SIC!$A$5:$A1041,"&gt;="&amp;$B44,SIC!$A$5:$A1041,"&lt;="&amp;$C44)</f>
        <v>1426.5000000000023</v>
      </c>
      <c r="K44" s="72">
        <f>SUELDOS!K$43</f>
        <v>36070</v>
      </c>
      <c r="L44" s="72">
        <f>SUMIFS(OGI!$D$6:$D1040,OGI!$A$6:$A1040,"&gt;="&amp;$B44,OGI!$A$6:$A1040,"&lt;="&amp;$C44)</f>
        <v>0</v>
      </c>
      <c r="M44" s="72">
        <f t="shared" si="7"/>
        <v>-106995.14</v>
      </c>
      <c r="N44" s="71"/>
      <c r="O44" s="87"/>
      <c r="P44" s="87"/>
      <c r="R44" s="60"/>
      <c r="S44" s="102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</row>
    <row r="45" spans="1:41" ht="15" customHeight="1">
      <c r="A45" s="66" t="s">
        <v>25</v>
      </c>
      <c r="B45" s="98">
        <v>44859</v>
      </c>
      <c r="C45" s="98">
        <v>44889</v>
      </c>
      <c r="D45" s="72">
        <f t="shared" si="8"/>
        <v>-106995.14</v>
      </c>
      <c r="E45" s="72">
        <f>SUMIFS(VENTAS!$Q$7:$Q1040,VENTAS!$A$7:$A1040,"&gt;="&amp;$B45,VENTAS!$A$7:$A1040,"&lt;="&amp;$C45)</f>
        <v>0</v>
      </c>
      <c r="F45" s="72"/>
      <c r="G45" s="72">
        <f>SUMIFS(OGI!$M$6:$M1040,OGI!$J$6:$J1040,"&gt;="&amp;$B45,OGI!$J$6:$J1040,"&lt;="&amp;$C45)</f>
        <v>0</v>
      </c>
      <c r="H45" s="72">
        <f>SUMIFS(COMPRAS!$F$5:$F1039,COMPRAS!$A$5:$A1039,"&gt;="&amp;$B45,COMPRAS!$A$5:$A1039,"&lt;="&amp;$C45)</f>
        <v>0</v>
      </c>
      <c r="I45" s="72">
        <f>SUMIFS(INSUMOS!$G$5:$G1040,INSUMOS!$A$5:$A1040,"&gt;="&amp;$B45,INSUMOS!$A$5:$A1040,"&lt;="&amp;$C45)</f>
        <v>0</v>
      </c>
      <c r="J45" s="72">
        <f>SUMIFS(SIC!$F$5:$F1041,SIC!$A$5:$A1041,"&gt;="&amp;$B45,SIC!$A$5:$A1041,"&lt;="&amp;$C45)</f>
        <v>21581.89</v>
      </c>
      <c r="K45" s="72">
        <f>SUELDOS!K$50</f>
        <v>0</v>
      </c>
      <c r="L45" s="72">
        <f>SUMIFS(OGI!$D$6:$D1040,OGI!$A$6:$A1040,"&gt;="&amp;$B45,OGI!$A$6:$A1040,"&lt;="&amp;$C45)</f>
        <v>0</v>
      </c>
      <c r="M45" s="72">
        <f t="shared" si="7"/>
        <v>-128577.03</v>
      </c>
      <c r="N45" s="71"/>
      <c r="O45" s="87"/>
      <c r="P45" s="87"/>
      <c r="R45" s="60"/>
      <c r="S45" s="102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</row>
    <row r="46" spans="1:41" ht="15" customHeight="1">
      <c r="A46" s="66" t="s">
        <v>26</v>
      </c>
      <c r="B46" s="98">
        <v>44890</v>
      </c>
      <c r="C46" s="98">
        <v>44919</v>
      </c>
      <c r="D46" s="72">
        <f t="shared" si="8"/>
        <v>-128577.03</v>
      </c>
      <c r="E46" s="72">
        <f>SUMIFS(VENTAS!$Q$7:$Q1040,VENTAS!$A$7:$A1040,"&gt;="&amp;$B46,VENTAS!$A$7:$A1040,"&lt;="&amp;$C46)</f>
        <v>0</v>
      </c>
      <c r="F46" s="72"/>
      <c r="G46" s="72">
        <f>SUMIFS(OGI!$M$6:$M1040,OGI!$J$6:$J1040,"&gt;="&amp;$B46,OGI!$J$6:$J1040,"&lt;="&amp;$C46)</f>
        <v>0</v>
      </c>
      <c r="H46" s="72">
        <f>SUMIFS(COMPRAS!$F$5:$F1039,COMPRAS!$A$5:$A1039,"&gt;="&amp;$B46,COMPRAS!$A$5:$A1039,"&lt;="&amp;$C46)</f>
        <v>0</v>
      </c>
      <c r="I46" s="72">
        <f>SUMIFS(INSUMOS!$G$5:$G1040,INSUMOS!$A$5:$A1040,"&gt;="&amp;$B46,INSUMOS!$A$5:$A1040,"&lt;="&amp;$C46)</f>
        <v>0</v>
      </c>
      <c r="J46" s="72">
        <f>SUMIFS(SIC!$F$5:$F1041,SIC!$A$5:$A1041,"&gt;="&amp;$B46,SIC!$A$5:$A1041,"&lt;="&amp;$C46)</f>
        <v>14368.400000000001</v>
      </c>
      <c r="K46" s="72">
        <f>SUELDOS!K$57</f>
        <v>15000</v>
      </c>
      <c r="L46" s="72">
        <f>SUMIFS(OGI!$D$6:$D1040,OGI!$A$6:$A1040,"&gt;="&amp;$B46,OGI!$A$6:$A1040,"&lt;="&amp;$C46)</f>
        <v>0</v>
      </c>
      <c r="M46" s="72">
        <f t="shared" si="7"/>
        <v>-157945.43</v>
      </c>
      <c r="N46" s="71"/>
      <c r="O46" s="87"/>
      <c r="P46" s="87"/>
      <c r="R46" s="60"/>
      <c r="S46" s="102"/>
      <c r="T46" s="71"/>
      <c r="U46" s="71"/>
      <c r="V46" s="71">
        <f>V26/26</f>
        <v>0</v>
      </c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</row>
    <row r="47" spans="1:41" ht="15" customHeight="1">
      <c r="A47" s="66" t="s">
        <v>27</v>
      </c>
      <c r="B47" s="98">
        <v>44920</v>
      </c>
      <c r="C47" s="98">
        <v>44950</v>
      </c>
      <c r="D47" s="72">
        <f t="shared" si="8"/>
        <v>-157945.43</v>
      </c>
      <c r="E47" s="72">
        <f>SUMIFS(VENTAS!$Q$7:$Q1040,VENTAS!$A$7:$A1040,"&gt;="&amp;$B47,VENTAS!$A$7:$A1040,"&lt;="&amp;$C47)</f>
        <v>0</v>
      </c>
      <c r="F47" s="72"/>
      <c r="G47" s="72">
        <f>SUMIFS(OGI!$M$6:$M1040,OGI!$J$6:$J1040,"&gt;="&amp;$B47,OGI!$J$6:$J1040,"&lt;="&amp;$C47)</f>
        <v>0</v>
      </c>
      <c r="H47" s="72">
        <f>SUMIFS(COMPRAS!$F$5:$F1039,COMPRAS!$A$5:$A1039,"&gt;="&amp;$B47,COMPRAS!$A$5:$A1039,"&lt;="&amp;$C47)</f>
        <v>0</v>
      </c>
      <c r="I47" s="72">
        <f>SUMIFS(INSUMOS!$G$5:$G1040,INSUMOS!$A$5:$A1040,"&gt;="&amp;$B47,INSUMOS!$A$5:$A1040,"&lt;="&amp;$C47)</f>
        <v>0</v>
      </c>
      <c r="J47" s="72">
        <f>SUMIFS(SIC!$F$5:$F1041,SIC!$A$5:$A1041,"&gt;="&amp;$B47,SIC!$A$5:$A1041,"&lt;="&amp;$C47)</f>
        <v>9050.4700000000012</v>
      </c>
      <c r="K47" s="72">
        <f>SUELDOS!K$64</f>
        <v>30000</v>
      </c>
      <c r="L47" s="72">
        <f>SUMIFS(OGI!$D$6:$D1040,OGI!$A$6:$A1040,"&gt;="&amp;$B47,OGI!$A$6:$A1040,"&lt;="&amp;$C47)</f>
        <v>33500</v>
      </c>
      <c r="M47" s="72">
        <f t="shared" si="7"/>
        <v>-230495.9</v>
      </c>
      <c r="N47" s="71"/>
      <c r="O47" s="87"/>
      <c r="P47" s="87"/>
      <c r="R47" s="60"/>
      <c r="S47" s="102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</row>
    <row r="48" spans="1:41" ht="15" customHeight="1">
      <c r="A48" s="66" t="s">
        <v>28</v>
      </c>
      <c r="B48" s="98">
        <v>44951</v>
      </c>
      <c r="C48" s="98">
        <v>44981</v>
      </c>
      <c r="D48" s="72">
        <f t="shared" si="8"/>
        <v>-230495.9</v>
      </c>
      <c r="E48" s="72">
        <f>SUMIFS(VENTAS!$Q$7:$Q1040,VENTAS!$A$7:$A1040,"&gt;="&amp;$B48,VENTAS!$A$7:$A1040,"&lt;="&amp;$C48)</f>
        <v>0</v>
      </c>
      <c r="F48" s="72"/>
      <c r="G48" s="72">
        <f>SUMIFS(OGI!$M$6:$M1040,OGI!$J$6:$J1040,"&gt;="&amp;$B48,OGI!$J$6:$J1040,"&lt;="&amp;$C48)</f>
        <v>0</v>
      </c>
      <c r="H48" s="72">
        <f>SUMIFS(COMPRAS!$F$5:$F1039,COMPRAS!$A$5:$A1039,"&gt;="&amp;$B48,COMPRAS!$A$5:$A1039,"&lt;="&amp;$C48)</f>
        <v>0</v>
      </c>
      <c r="I48" s="72">
        <f>SUMIFS(INSUMOS!$G$5:$G1040,INSUMOS!$A$5:$A1040,"&gt;="&amp;$B48,INSUMOS!$A$5:$A1040,"&lt;="&amp;$C48)</f>
        <v>0</v>
      </c>
      <c r="J48" s="72">
        <f>SUMIFS(SIC!$F$5:$F1041,SIC!$A$5:$A1041,"&gt;="&amp;$B48,SIC!$A$5:$A1041,"&lt;="&amp;$C48)</f>
        <v>51339.07</v>
      </c>
      <c r="K48" s="72">
        <f>SUELDOS!K$71</f>
        <v>0</v>
      </c>
      <c r="L48" s="72">
        <f>SUMIFS(OGI!$D$6:$D1040,OGI!$A$6:$A1040,"&gt;="&amp;$B48,OGI!$A$6:$A1040,"&lt;="&amp;$C48)</f>
        <v>0</v>
      </c>
      <c r="M48" s="72">
        <f t="shared" si="7"/>
        <v>-281834.96999999997</v>
      </c>
      <c r="N48" s="71"/>
      <c r="O48" s="87"/>
      <c r="P48" s="87"/>
      <c r="R48" s="60"/>
      <c r="S48" s="102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</row>
    <row r="49" spans="1:41" ht="15" customHeight="1">
      <c r="A49" s="66" t="s">
        <v>29</v>
      </c>
      <c r="B49" s="98">
        <v>44982</v>
      </c>
      <c r="C49" s="98">
        <v>45009</v>
      </c>
      <c r="D49" s="72">
        <f t="shared" si="8"/>
        <v>-281834.96999999997</v>
      </c>
      <c r="E49" s="72">
        <f>SUMIFS(VENTAS!$Q$7:$Q1040,VENTAS!$A$7:$A1040,"&gt;="&amp;$B49,VENTAS!$A$7:$A1040,"&lt;="&amp;$C49)</f>
        <v>0</v>
      </c>
      <c r="F49" s="72"/>
      <c r="G49" s="72">
        <f>SUMIFS(OGI!$M$6:$M1040,OGI!$J$6:$J1040,"&gt;="&amp;$B49,OGI!$J$6:$J1040,"&lt;="&amp;$C49)</f>
        <v>4500</v>
      </c>
      <c r="H49" s="72">
        <f>SUMIFS(COMPRAS!$F$5:$F1039,COMPRAS!$A$5:$A1039,"&gt;="&amp;$B49,COMPRAS!$A$5:$A1039,"&lt;="&amp;$C49)</f>
        <v>0</v>
      </c>
      <c r="I49" s="72">
        <f>SUMIFS(INSUMOS!$G$5:$G1040,INSUMOS!$A$5:$A1040,"&gt;="&amp;$B49,INSUMOS!$A$5:$A1040,"&lt;="&amp;$C49)</f>
        <v>0</v>
      </c>
      <c r="J49" s="72">
        <f>SUMIFS(SIC!$F$5:$F1041,SIC!$A$5:$A1041,"&gt;="&amp;$B49,SIC!$A$5:$A1041,"&lt;="&amp;$C49)</f>
        <v>4912.34</v>
      </c>
      <c r="K49" s="72">
        <f>SUELDOS!K$79</f>
        <v>0</v>
      </c>
      <c r="L49" s="72">
        <f>SUMIFS(OGI!$D$6:$D1040,OGI!$A$6:$A1040,"&gt;="&amp;$B49,OGI!$A$6:$A1040,"&lt;="&amp;$C49)</f>
        <v>116426</v>
      </c>
      <c r="M49" s="72">
        <f t="shared" si="7"/>
        <v>-398673.30999999994</v>
      </c>
      <c r="N49" s="116" t="s">
        <v>99</v>
      </c>
      <c r="O49" s="87"/>
      <c r="P49" s="87"/>
      <c r="R49" s="60"/>
      <c r="S49" s="102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</row>
    <row r="50" spans="1:41" ht="15" customHeight="1">
      <c r="A50" s="66" t="s">
        <v>30</v>
      </c>
      <c r="B50" s="98">
        <v>45010</v>
      </c>
      <c r="C50" s="98">
        <v>45040</v>
      </c>
      <c r="D50" s="72">
        <f t="shared" si="8"/>
        <v>-398673.30999999994</v>
      </c>
      <c r="E50" s="72">
        <f>SUMIFS(VENTAS!$Q$7:$Q1040,VENTAS!$A$7:$A1040,"&gt;="&amp;$B50,VENTAS!$A$7:$A1040,"&lt;="&amp;$C50)</f>
        <v>0</v>
      </c>
      <c r="F50" s="72"/>
      <c r="G50" s="72">
        <f>SUMIFS(OGI!$M$6:$M1040,OGI!$J$6:$J1040,"&gt;="&amp;$B50,OGI!$J$6:$J1040,"&lt;="&amp;$C50)</f>
        <v>0</v>
      </c>
      <c r="H50" s="72">
        <f>SUMIFS(COMPRAS!$F$5:$F1039,COMPRAS!$A$5:$A1039,"&gt;="&amp;$B50,COMPRAS!$A$5:$A1039,"&lt;="&amp;$C50)</f>
        <v>0</v>
      </c>
      <c r="I50" s="72">
        <f>SUMIFS(INSUMOS!$G$5:$G1040,INSUMOS!$A$5:$A1040,"&gt;="&amp;$B50,INSUMOS!$A$5:$A1040,"&lt;="&amp;$C50)</f>
        <v>0</v>
      </c>
      <c r="J50" s="72">
        <f>SUMIFS(SIC!$F$5:$F1041,SIC!$A$5:$A1041,"&gt;="&amp;$B50,SIC!$A$5:$A1041,"&lt;="&amp;$C50)</f>
        <v>28400</v>
      </c>
      <c r="K50" s="72">
        <f>SUELDOS!K$86</f>
        <v>0</v>
      </c>
      <c r="L50" s="72">
        <f>SUMIFS(OGI!$D$6:$D1040,OGI!$A$6:$A1040,"&gt;="&amp;$B50,OGI!$A$6:$A1040,"&lt;="&amp;$C50)</f>
        <v>0</v>
      </c>
      <c r="M50" s="72">
        <f t="shared" si="7"/>
        <v>-427073.30999999994</v>
      </c>
      <c r="N50" s="116" t="s">
        <v>106</v>
      </c>
      <c r="O50" s="87">
        <v>3496.77</v>
      </c>
      <c r="Q50" s="60"/>
      <c r="R50" s="60"/>
      <c r="S50" s="10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</row>
    <row r="51" spans="1:41" ht="15" customHeight="1">
      <c r="A51" s="107"/>
      <c r="B51" s="108" t="s">
        <v>31</v>
      </c>
      <c r="C51" s="109"/>
      <c r="D51" s="72"/>
      <c r="E51" s="110">
        <f t="shared" ref="E51:J51" si="9">SUBTOTAL(9,E39:E50)</f>
        <v>0</v>
      </c>
      <c r="F51" s="110">
        <f t="shared" si="9"/>
        <v>0</v>
      </c>
      <c r="G51" s="110">
        <f t="shared" si="9"/>
        <v>4500</v>
      </c>
      <c r="H51" s="110">
        <f t="shared" si="9"/>
        <v>0</v>
      </c>
      <c r="I51" s="110">
        <f t="shared" si="9"/>
        <v>0</v>
      </c>
      <c r="J51" s="110">
        <f t="shared" si="9"/>
        <v>183577.31</v>
      </c>
      <c r="K51" s="110">
        <f>SUBTOTAL(9,K39:K49)</f>
        <v>81070</v>
      </c>
      <c r="L51" s="110">
        <f>SUBTOTAL(9,L39:L50)</f>
        <v>166926</v>
      </c>
      <c r="M51" s="111">
        <f>M50</f>
        <v>-427073.30999999994</v>
      </c>
      <c r="N51" s="116" t="s">
        <v>107</v>
      </c>
      <c r="O51" s="87"/>
      <c r="R51" s="60"/>
      <c r="S51" s="60"/>
      <c r="T51" s="10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</row>
    <row r="52" spans="1:41" ht="15" customHeight="1">
      <c r="A52" s="71"/>
      <c r="B52" s="71"/>
      <c r="C52" s="71"/>
      <c r="D52" s="71"/>
      <c r="E52" s="475">
        <f>E51+F51+G51</f>
        <v>4500</v>
      </c>
      <c r="F52" s="476"/>
      <c r="G52" s="476"/>
      <c r="H52" s="475">
        <f>SUM(H51:L51)</f>
        <v>431573.31</v>
      </c>
      <c r="I52" s="476"/>
      <c r="J52" s="476"/>
      <c r="K52" s="476"/>
      <c r="L52" s="477"/>
      <c r="M52" s="75"/>
      <c r="N52" s="71"/>
      <c r="O52" s="117">
        <f>M51-(O50+O51)</f>
        <v>-430570.07999999996</v>
      </c>
      <c r="P52" s="87">
        <f>O50+O51</f>
        <v>3496.77</v>
      </c>
      <c r="R52" s="60"/>
      <c r="S52" s="60"/>
      <c r="T52" s="10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</row>
    <row r="53" spans="1:41" ht="15" customHeight="1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87"/>
      <c r="R53" s="60"/>
      <c r="S53" s="114"/>
      <c r="T53" s="10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</row>
    <row r="54" spans="1:41" ht="15" customHeight="1">
      <c r="A54" s="479" t="s">
        <v>108</v>
      </c>
      <c r="B54" s="456"/>
      <c r="C54" s="456"/>
      <c r="D54" s="456"/>
      <c r="E54" s="456"/>
      <c r="F54" s="456"/>
      <c r="G54" s="456"/>
      <c r="H54" s="456"/>
      <c r="I54" s="456"/>
      <c r="J54" s="456"/>
      <c r="K54" s="456"/>
      <c r="L54" s="456"/>
      <c r="M54" s="456"/>
      <c r="N54" s="456"/>
      <c r="O54" s="456"/>
      <c r="P54" s="70"/>
      <c r="Q54" s="115"/>
      <c r="R54" s="60"/>
      <c r="S54" s="102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</row>
    <row r="55" spans="1:41" ht="15" customHeight="1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87"/>
      <c r="R55" s="60"/>
      <c r="S55" s="102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</row>
    <row r="56" spans="1:41" ht="15" customHeight="1">
      <c r="A56" s="95"/>
      <c r="B56" s="96" t="s">
        <v>3</v>
      </c>
      <c r="C56" s="97" t="s">
        <v>4</v>
      </c>
      <c r="D56" s="63" t="s">
        <v>5</v>
      </c>
      <c r="E56" s="63" t="s">
        <v>6</v>
      </c>
      <c r="F56" s="63" t="s">
        <v>109</v>
      </c>
      <c r="G56" s="63" t="s">
        <v>7</v>
      </c>
      <c r="H56" s="63" t="s">
        <v>9</v>
      </c>
      <c r="I56" s="63" t="s">
        <v>10</v>
      </c>
      <c r="J56" s="63" t="s">
        <v>11</v>
      </c>
      <c r="K56" s="63" t="s">
        <v>12</v>
      </c>
      <c r="L56" s="63" t="s">
        <v>13</v>
      </c>
      <c r="M56" s="63" t="s">
        <v>14</v>
      </c>
      <c r="N56" s="63" t="s">
        <v>110</v>
      </c>
      <c r="O56" s="63" t="s">
        <v>97</v>
      </c>
      <c r="P56" s="63" t="s">
        <v>98</v>
      </c>
      <c r="R56" s="60"/>
      <c r="S56" s="102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</row>
    <row r="57" spans="1:41" ht="15" customHeight="1">
      <c r="A57" s="66" t="s">
        <v>19</v>
      </c>
      <c r="B57" s="98">
        <v>44676</v>
      </c>
      <c r="C57" s="98">
        <v>44705</v>
      </c>
      <c r="D57" s="72">
        <v>0</v>
      </c>
      <c r="E57" s="72">
        <f>SUMIFS(VENTAS!$T$7:$T1040,VENTAS!$A$7:$A1040,"&gt;="&amp;$B57,VENTAS!$A$7:$A1040,"&lt;="&amp;$C57)</f>
        <v>0</v>
      </c>
      <c r="F57" s="72"/>
      <c r="G57" s="72">
        <f>273.49-35.57</f>
        <v>237.92000000000002</v>
      </c>
      <c r="H57" s="72">
        <f>SUMIFS(OGI!$N$6:$N1040,OGI!$J$6:$J1040,"&gt;="&amp;$B57,OGI!$J$6:$J1040,"&lt;="&amp;$C57)</f>
        <v>0</v>
      </c>
      <c r="I57" s="72">
        <f>'RECARGA MP'!B$35</f>
        <v>0</v>
      </c>
      <c r="J57" s="72">
        <f>SUMIFS(COMPRAS!G$5:G1039,COMPRAS!$A$5:$A1039,"&gt;="&amp;$B57,COMPRAS!$A$5:$A1039,"&lt;="&amp;$C57)</f>
        <v>0</v>
      </c>
      <c r="K57" s="72">
        <f>SUMIFS(INSUMOS!H$5:H1040,INSUMOS!$A$5:$A1040,"&gt;="&amp;$B57,INSUMOS!$A$5:$A1040,"&lt;="&amp;$C57)</f>
        <v>0</v>
      </c>
      <c r="L57" s="72">
        <f>SUMIFS(SIC!G$6:G1041,SIC!$A$6:$A1041,"&gt;="&amp;$B57,SIC!$A$6:$A1041,"&lt;="&amp;$C57)</f>
        <v>20.29</v>
      </c>
      <c r="M57" s="72">
        <f>SUELDOS!L$8</f>
        <v>0</v>
      </c>
      <c r="N57" s="72">
        <f>180+190</f>
        <v>370</v>
      </c>
      <c r="O57" s="72">
        <f>SUMIFS(OGI!$E$6:$E1040,OGI!$A$6:$A1040,"&gt;="&amp;$B57,OGI!$A$6:$A1040,"&lt;="&amp;$C57)</f>
        <v>83</v>
      </c>
      <c r="P57" s="72">
        <f t="shared" ref="P57:P68" si="10">D57+(E57+F57+G57+H57)-(I57+J57+K57+L57+M57+N57+O57)</f>
        <v>-235.37</v>
      </c>
      <c r="Q57" s="87">
        <v>26299.97</v>
      </c>
      <c r="R57" s="87">
        <f t="shared" ref="R57:R68" si="11">P57-Q57</f>
        <v>-26535.34</v>
      </c>
      <c r="S57" s="87"/>
      <c r="T57" s="71"/>
      <c r="U57" s="89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</row>
    <row r="58" spans="1:41" ht="15" customHeight="1">
      <c r="A58" s="66" t="s">
        <v>20</v>
      </c>
      <c r="B58" s="98">
        <v>44706</v>
      </c>
      <c r="C58" s="98">
        <v>44736</v>
      </c>
      <c r="D58" s="72">
        <f t="shared" ref="D58:D68" si="12">P57</f>
        <v>-235.37</v>
      </c>
      <c r="E58" s="72">
        <f>SUMIFS(VENTAS!$T$7:$T1040,VENTAS!$A$7:$A1040,"&gt;="&amp;$B58,VENTAS!$A$7:$A1040,"&lt;="&amp;$C58)</f>
        <v>0</v>
      </c>
      <c r="F58" s="72"/>
      <c r="G58" s="72">
        <f>26.28+51.08+28.44+89.56+25.61+25.72+25.03+6.09+25.07+8.54+8.6+13.67+13.1+45.31+19.67+18.98+18.25+19.34+91.93+13.25+10.62-109.91</f>
        <v>474.23000000000013</v>
      </c>
      <c r="H58" s="72">
        <f>SUMIFS(OGI!$N$6:$N1040,OGI!$J$6:$J1040,"&gt;="&amp;$B58,OGI!$J$6:$J1040,"&lt;="&amp;$C58)</f>
        <v>6000</v>
      </c>
      <c r="I58" s="72">
        <f>'RECARGA MP'!D$35</f>
        <v>0</v>
      </c>
      <c r="J58" s="72">
        <f>SUMIFS(COMPRAS!$G$5:$G1039,COMPRAS!$A$5:$A1039,"&gt;="&amp;$B58,COMPRAS!$A$5:$A1039,"&lt;="&amp;$C58)</f>
        <v>0</v>
      </c>
      <c r="K58" s="72">
        <f>SUMIFS(INSUMOS!$H$5:$H1040,INSUMOS!$A$5:$A1040,"&gt;="&amp;$B58,INSUMOS!$A$5:$A1040,"&lt;="&amp;$C58)</f>
        <v>0</v>
      </c>
      <c r="L58" s="72">
        <f>SUMIFS(SIC!G$6:G1041,SIC!$A$6:$A1041,"&gt;="&amp;$B58,SIC!$A$6:$A1041,"&lt;="&amp;$C58)</f>
        <v>27697.54</v>
      </c>
      <c r="M58" s="72">
        <f>SUELDOS!L$15</f>
        <v>23570</v>
      </c>
      <c r="N58" s="72">
        <f>560+430</f>
        <v>990</v>
      </c>
      <c r="O58" s="72">
        <f>SUMIFS(OGI!$E$6:$E1040,OGI!$A$6:$A1040,"&gt;="&amp;$B58,OGI!$A$6:$A1040,"&lt;="&amp;$C58)</f>
        <v>4200</v>
      </c>
      <c r="P58" s="72">
        <f t="shared" si="10"/>
        <v>-50218.68</v>
      </c>
      <c r="Q58" s="87">
        <v>775.27</v>
      </c>
      <c r="R58" s="87">
        <f t="shared" si="11"/>
        <v>-50993.95</v>
      </c>
      <c r="S58" s="87">
        <f t="shared" ref="S58:S68" si="13">R58-R57</f>
        <v>-24458.609999999997</v>
      </c>
      <c r="T58" s="71">
        <v>110841.07</v>
      </c>
      <c r="U58" s="89" t="s">
        <v>111</v>
      </c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</row>
    <row r="59" spans="1:41" ht="15" customHeight="1">
      <c r="A59" s="66" t="s">
        <v>21</v>
      </c>
      <c r="B59" s="98">
        <v>44737</v>
      </c>
      <c r="C59" s="98">
        <v>44766</v>
      </c>
      <c r="D59" s="72">
        <f t="shared" si="12"/>
        <v>-50218.68</v>
      </c>
      <c r="E59" s="72">
        <f>SUMIFS(VENTAS!$T$7:$T1040,VENTAS!$A$7:$A1040,"&gt;="&amp;$B59,VENTAS!$A$7:$A1040,"&lt;="&amp;$C59)</f>
        <v>0</v>
      </c>
      <c r="F59" s="72">
        <f>190+180+560+430</f>
        <v>1360</v>
      </c>
      <c r="G59" s="72">
        <f>473.11-255.31</f>
        <v>217.8</v>
      </c>
      <c r="H59" s="72">
        <f>SUMIFS(OGI!$N$6:$N1040,OGI!$J$6:$J1040,"&gt;="&amp;$B59,OGI!$J$6:$J1040,"&lt;="&amp;$C59)</f>
        <v>1400</v>
      </c>
      <c r="I59" s="72">
        <f>'RECARGA MP'!F$35</f>
        <v>0</v>
      </c>
      <c r="J59" s="72">
        <f>SUMIFS(COMPRAS!$G$5:$G1039,COMPRAS!$A$5:$A1039,"&gt;="&amp;$B59,COMPRAS!$A$5:$A1039,"&lt;="&amp;$C59)</f>
        <v>0</v>
      </c>
      <c r="K59" s="72">
        <f>SUMIFS(INSUMOS!$H$5:$H1040,INSUMOS!$A$5:$A1040,"&gt;="&amp;$B59,INSUMOS!$A$5:$A1040,"&lt;="&amp;$C59)</f>
        <v>0</v>
      </c>
      <c r="L59" s="72">
        <f>SUMIFS(SIC!G$6:G1041,SIC!$A$6:$A1041,"&gt;="&amp;$B59,SIC!$A$6:$A1041,"&lt;="&amp;$C59)</f>
        <v>41500.700000000004</v>
      </c>
      <c r="M59" s="72">
        <f>SUELDOS!L$22</f>
        <v>0</v>
      </c>
      <c r="N59" s="72">
        <f>440+840</f>
        <v>1280</v>
      </c>
      <c r="O59" s="72">
        <f>SUMIFS(OGI!$E$6:$E1040,OGI!$A$6:$A1040,"&gt;="&amp;$B59,OGI!$A$6:$A1040,"&lt;="&amp;$C59)</f>
        <v>10600</v>
      </c>
      <c r="P59" s="72">
        <f t="shared" si="10"/>
        <v>-100621.58</v>
      </c>
      <c r="Q59" s="87">
        <v>16581.57</v>
      </c>
      <c r="R59" s="87">
        <f t="shared" si="11"/>
        <v>-117203.15</v>
      </c>
      <c r="S59" s="87">
        <f t="shared" si="13"/>
        <v>-66209.2</v>
      </c>
      <c r="T59" s="71">
        <v>110402.87</v>
      </c>
      <c r="U59" s="89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</row>
    <row r="60" spans="1:41" ht="15" customHeight="1">
      <c r="A60" s="66" t="s">
        <v>22</v>
      </c>
      <c r="B60" s="98">
        <v>44767</v>
      </c>
      <c r="C60" s="98">
        <v>44797</v>
      </c>
      <c r="D60" s="72">
        <f t="shared" si="12"/>
        <v>-100621.58</v>
      </c>
      <c r="E60" s="72">
        <f>SUMIFS(VENTAS!$T$7:$T1040,VENTAS!$A$7:$A1040,"&gt;="&amp;$B60,VENTAS!$A$7:$A1040,"&lt;="&amp;$C60)</f>
        <v>0</v>
      </c>
      <c r="F60" s="72"/>
      <c r="G60" s="72">
        <f>567.37-66.53</f>
        <v>500.84000000000003</v>
      </c>
      <c r="H60" s="72">
        <f>SUMIFS(OGI!$N$6:$N1040,OGI!$J$6:$J1040,"&gt;="&amp;$B60,OGI!$J$6:$J1040,"&lt;="&amp;$C60)</f>
        <v>3000</v>
      </c>
      <c r="I60" s="72">
        <f>'RECARGA MP'!H$35</f>
        <v>11940</v>
      </c>
      <c r="J60" s="72">
        <f>SUMIFS(COMPRAS!$G$5:$G1039,COMPRAS!$A$5:$A1039,"&gt;="&amp;$B60,COMPRAS!$A$5:$A1039,"&lt;="&amp;$C60)</f>
        <v>0</v>
      </c>
      <c r="K60" s="72">
        <f>SUMIFS(INSUMOS!$H$5:$H1040,INSUMOS!$A$5:$A1040,"&gt;="&amp;$B60,INSUMOS!$A$5:$A1040,"&lt;="&amp;$C60)</f>
        <v>6565</v>
      </c>
      <c r="L60" s="72">
        <f>SUMIFS(SIC!G$6:G1041,SIC!$A$6:$A1041,"&gt;="&amp;$B60,SIC!$A$6:$A1041,"&lt;="&amp;$C60)</f>
        <v>35612.65</v>
      </c>
      <c r="M60" s="72">
        <f>SUELDOS!L$29</f>
        <v>23000</v>
      </c>
      <c r="N60" s="72">
        <f>663.2+1395+680+330+370</f>
        <v>3438.2</v>
      </c>
      <c r="O60" s="72">
        <f>SUMIFS(OGI!$E$6:$E1040,OGI!$A$6:$A1040,"&gt;="&amp;$B60,OGI!$A$6:$A1040,"&lt;="&amp;$C60)</f>
        <v>20809.02</v>
      </c>
      <c r="P60" s="72">
        <f t="shared" si="10"/>
        <v>-198485.61</v>
      </c>
      <c r="Q60" s="87">
        <v>10397.280000000001</v>
      </c>
      <c r="R60" s="87">
        <f t="shared" si="11"/>
        <v>-208882.88999999998</v>
      </c>
      <c r="S60" s="87">
        <f t="shared" si="13"/>
        <v>-91679.739999999991</v>
      </c>
      <c r="T60" s="71">
        <f>T58-T59</f>
        <v>438.20000000001164</v>
      </c>
      <c r="U60" s="89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</row>
    <row r="61" spans="1:41" ht="15" customHeight="1">
      <c r="A61" s="66" t="s">
        <v>23</v>
      </c>
      <c r="B61" s="98">
        <v>44798</v>
      </c>
      <c r="C61" s="98">
        <v>44828</v>
      </c>
      <c r="D61" s="72">
        <f t="shared" si="12"/>
        <v>-198485.61</v>
      </c>
      <c r="E61" s="72">
        <f>SUMIFS(VENTAS!$T$7:$T1040,VENTAS!$A$7:$A1040,"&gt;="&amp;$B61,VENTAS!$A$7:$A1040,"&lt;="&amp;$C61)</f>
        <v>0</v>
      </c>
      <c r="F61" s="72">
        <f>440+840</f>
        <v>1280</v>
      </c>
      <c r="G61" s="72">
        <f>12.04+14.14+44.39+16.18+17.86+30.11+1.7+145.83+7.02+10.75+14.56+32.96+18.37+12.32+24.52+29.46+28.53+38.87+43.16+28.37+27.12+3.44</f>
        <v>601.69999999999993</v>
      </c>
      <c r="H61" s="72">
        <f>SUMIFS(OGI!$N$6:$N1040,OGI!$J$6:$J1040,"&gt;="&amp;$B61,OGI!$J$6:$J1040,"&lt;="&amp;$C61)</f>
        <v>0</v>
      </c>
      <c r="I61" s="72">
        <f>'RECARGA MP'!J35</f>
        <v>12750</v>
      </c>
      <c r="J61" s="72">
        <f>SUMIFS(COMPRAS!$G$5:$G1039,COMPRAS!$A$5:$A1039,"&gt;="&amp;$B61,COMPRAS!$A$5:$A1039,"&lt;="&amp;$C61)</f>
        <v>0</v>
      </c>
      <c r="K61" s="72">
        <f>SUMIFS(INSUMOS!$H$5:$H1040,INSUMOS!$A$5:$A1040,"&gt;="&amp;$B61,INSUMOS!$A$5:$A1040,"&lt;="&amp;$C61)</f>
        <v>0</v>
      </c>
      <c r="L61" s="72">
        <f>SUMIFS(SIC!G$6:G1041,SIC!$A$6:$A1041,"&gt;="&amp;$B61,SIC!$A$6:$A1041,"&lt;="&amp;$C61)</f>
        <v>28772.19</v>
      </c>
      <c r="M61" s="72">
        <f>SUELDOS!L$36</f>
        <v>19000</v>
      </c>
      <c r="N61" s="72">
        <f>660+580+2280+160+676+2076+650+2909.3+3.44+265.87</f>
        <v>10260.61</v>
      </c>
      <c r="O61" s="72">
        <f>SUMIFS(OGI!$E$6:$E1040,OGI!$A$6:$A1040,"&gt;="&amp;$B61,OGI!$A$6:$A1040,"&lt;="&amp;$C61)</f>
        <v>1959.87</v>
      </c>
      <c r="P61" s="72">
        <f t="shared" si="10"/>
        <v>-269346.57999999996</v>
      </c>
      <c r="Q61" s="87">
        <v>22250.79</v>
      </c>
      <c r="R61" s="87">
        <f t="shared" si="11"/>
        <v>-291597.36999999994</v>
      </c>
      <c r="S61" s="87">
        <f t="shared" si="13"/>
        <v>-82714.479999999952</v>
      </c>
      <c r="T61" s="71"/>
      <c r="U61" s="89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</row>
    <row r="62" spans="1:41" ht="15" customHeight="1">
      <c r="A62" s="66" t="s">
        <v>24</v>
      </c>
      <c r="B62" s="98">
        <v>44829</v>
      </c>
      <c r="C62" s="98">
        <v>44858</v>
      </c>
      <c r="D62" s="72">
        <f t="shared" si="12"/>
        <v>-269346.57999999996</v>
      </c>
      <c r="E62" s="72">
        <f>SUMIFS(VENTAS!$T$7:$T1040,VENTAS!$A$7:$A1040,"&gt;="&amp;$B62,VENTAS!$A$7:$A1040,"&lt;="&amp;$C62)</f>
        <v>0</v>
      </c>
      <c r="F62" s="72">
        <f>663.2+1395+680+330+2909.3+454.93+348.62</f>
        <v>6781.05</v>
      </c>
      <c r="G62" s="72">
        <v>598.26</v>
      </c>
      <c r="H62" s="72">
        <f>SUMIFS(OGI!$N$6:$N1040,OGI!$J$6:$J1040,"&gt;="&amp;$B62,OGI!$J$6:$J1040,"&lt;="&amp;$C62)</f>
        <v>0</v>
      </c>
      <c r="I62" s="72">
        <f>'RECARGA MP'!L35</f>
        <v>21250</v>
      </c>
      <c r="J62" s="72">
        <f>SUMIFS(COMPRAS!$G$5:$G1039,COMPRAS!$A$5:$A1039,"&gt;="&amp;$B62,COMPRAS!$A$5:$A1039,"&lt;="&amp;$C62)</f>
        <v>0</v>
      </c>
      <c r="K62" s="72">
        <f>SUMIFS(INSUMOS!$H$5:$H1040,INSUMOS!$A$5:$A1040,"&gt;="&amp;$B62,INSUMOS!$A$5:$A1040,"&lt;="&amp;$C62)</f>
        <v>0</v>
      </c>
      <c r="L62" s="72">
        <f>SUMIFS(SIC!G$6:G1041,SIC!$A$6:$A1041,"&gt;="&amp;$B62,SIC!$A$6:$A1041,"&lt;="&amp;$C62)</f>
        <v>37808.409999999996</v>
      </c>
      <c r="M62" s="72">
        <f>SUELDOS!L$43</f>
        <v>20000</v>
      </c>
      <c r="N62" s="72">
        <f>450+870</f>
        <v>1320</v>
      </c>
      <c r="O62" s="72">
        <f>SUMIFS(OGI!$E$6:$E1040,OGI!$A$6:$A1040,"&gt;="&amp;$B62,OGI!$A$6:$A1040,"&lt;="&amp;$C62)</f>
        <v>11117.5</v>
      </c>
      <c r="P62" s="72">
        <f t="shared" si="10"/>
        <v>-353463.17999999993</v>
      </c>
      <c r="Q62" s="87">
        <v>12780.52</v>
      </c>
      <c r="R62" s="87">
        <f t="shared" si="11"/>
        <v>-366243.69999999995</v>
      </c>
      <c r="S62" s="87">
        <f t="shared" si="13"/>
        <v>-74646.330000000016</v>
      </c>
      <c r="T62" s="71"/>
      <c r="U62" s="89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</row>
    <row r="63" spans="1:41" ht="15" customHeight="1">
      <c r="A63" s="66" t="s">
        <v>25</v>
      </c>
      <c r="B63" s="98">
        <v>44859</v>
      </c>
      <c r="C63" s="98">
        <v>44889</v>
      </c>
      <c r="D63" s="72">
        <f t="shared" si="12"/>
        <v>-353463.17999999993</v>
      </c>
      <c r="E63" s="72">
        <f>SUMIFS(VENTAS!$T$7:$T1040,VENTAS!$A$7:$A1040,"&gt;="&amp;$B63,VENTAS!$A$7:$A1040,"&lt;="&amp;$C63)</f>
        <v>0</v>
      </c>
      <c r="F63" s="72">
        <f>370+660+580+450+870</f>
        <v>2930</v>
      </c>
      <c r="G63" s="72">
        <f>1099.37+4.06</f>
        <v>1103.4299999999998</v>
      </c>
      <c r="H63" s="72">
        <f>SUMIFS(OGI!$N$6:$N1040,OGI!$J$6:$J1040,"&gt;="&amp;$B63,OGI!$J$6:$J1040,"&lt;="&amp;$C63)</f>
        <v>0</v>
      </c>
      <c r="I63" s="72">
        <f>'RECARGA MP'!N35</f>
        <v>18850</v>
      </c>
      <c r="J63" s="72">
        <f>SUMIFS(COMPRAS!$G$5:$G1039,COMPRAS!$A$5:$A1039,"&gt;="&amp;$B63,COMPRAS!$A$5:$A1039,"&lt;="&amp;$C63)</f>
        <v>0</v>
      </c>
      <c r="K63" s="72">
        <f>SUMIFS(INSUMOS!$H$5:$H1040,INSUMOS!$A$5:$A1040,"&gt;="&amp;$B63,INSUMOS!$A$5:$A1040,"&lt;="&amp;$C63)</f>
        <v>0</v>
      </c>
      <c r="L63" s="72">
        <f>SUMIFS(SIC!G$6:G1041,SIC!$A$6:$A1041,"&gt;="&amp;$B63,SIC!$A$6:$A1041,"&lt;="&amp;$C63)</f>
        <v>64976.149999999994</v>
      </c>
      <c r="M63" s="72">
        <f>SUELDOS!L$50</f>
        <v>30000</v>
      </c>
      <c r="N63" s="72">
        <v>1650</v>
      </c>
      <c r="O63" s="72">
        <f>SUMIFS(OGI!$E$6:$E1040,OGI!$A$6:$A1040,"&gt;="&amp;$B63,OGI!$A$6:$A1040,"&lt;="&amp;$C63)</f>
        <v>0</v>
      </c>
      <c r="P63" s="72">
        <f t="shared" si="10"/>
        <v>-464905.89999999991</v>
      </c>
      <c r="Q63" s="87">
        <v>26772.89</v>
      </c>
      <c r="R63" s="87">
        <f t="shared" si="11"/>
        <v>-491678.78999999992</v>
      </c>
      <c r="S63" s="87">
        <f t="shared" si="13"/>
        <v>-125435.08999999997</v>
      </c>
      <c r="T63" s="71"/>
      <c r="U63" s="89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</row>
    <row r="64" spans="1:41" ht="15" customHeight="1">
      <c r="A64" s="66" t="s">
        <v>26</v>
      </c>
      <c r="B64" s="98">
        <v>44890</v>
      </c>
      <c r="C64" s="98">
        <v>44919</v>
      </c>
      <c r="D64" s="72">
        <f t="shared" si="12"/>
        <v>-464905.89999999991</v>
      </c>
      <c r="E64" s="72">
        <f>SUMIFS(VENTAS!$T$7:$T1040,VENTAS!$A$7:$A1040,"&gt;="&amp;$B64,VENTAS!$A$7:$A1040,"&lt;="&amp;$C64)</f>
        <v>0</v>
      </c>
      <c r="F64" s="72">
        <v>2494.1</v>
      </c>
      <c r="G64" s="72">
        <f>1053.49-32.4</f>
        <v>1021.09</v>
      </c>
      <c r="H64" s="72">
        <f>SUMIFS(OGI!$N$6:$N1040,OGI!$J$6:$J1040,"&gt;="&amp;$B64,OGI!$J$6:$J1040,"&lt;="&amp;$C64)</f>
        <v>0</v>
      </c>
      <c r="I64" s="72">
        <f>'RECARGA MP'!P35</f>
        <v>5547.95</v>
      </c>
      <c r="J64" s="72">
        <f>SUMIFS(COMPRAS!$G$5:$G1039,COMPRAS!$A$5:$A1039,"&gt;="&amp;$B64,COMPRAS!$A$5:$A1039,"&lt;="&amp;$C64)</f>
        <v>0</v>
      </c>
      <c r="K64" s="72">
        <f>SUMIFS(INSUMOS!$H$5:$H1040,INSUMOS!$A$5:$A1040,"&gt;="&amp;$B64,INSUMOS!$A$5:$A1040,"&lt;="&amp;$C64)</f>
        <v>0</v>
      </c>
      <c r="L64" s="72">
        <f>SUMIFS(SIC!G$6:G1041,SIC!$A$6:$A1041,"&gt;="&amp;$B64,SIC!$A$6:$A1041,"&lt;="&amp;$C64)</f>
        <v>821.77</v>
      </c>
      <c r="M64" s="72">
        <f>SUELDOS!L$57</f>
        <v>107290</v>
      </c>
      <c r="N64" s="72">
        <v>0</v>
      </c>
      <c r="O64" s="72">
        <f>SUMIFS(OGI!$E$6:$E1040,OGI!$A$6:$A1040,"&gt;="&amp;$B64,OGI!$A$6:$A1040,"&lt;="&amp;$C64)</f>
        <v>0</v>
      </c>
      <c r="P64" s="72">
        <f t="shared" si="10"/>
        <v>-575050.42999999993</v>
      </c>
      <c r="Q64" s="87">
        <v>28128.94</v>
      </c>
      <c r="R64" s="87">
        <f t="shared" si="11"/>
        <v>-603179.36999999988</v>
      </c>
      <c r="S64" s="87">
        <f t="shared" si="13"/>
        <v>-111500.57999999996</v>
      </c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</row>
    <row r="65" spans="1:41" ht="15" customHeight="1">
      <c r="A65" s="66" t="s">
        <v>27</v>
      </c>
      <c r="B65" s="98">
        <v>44920</v>
      </c>
      <c r="C65" s="98">
        <v>44950</v>
      </c>
      <c r="D65" s="72">
        <f t="shared" si="12"/>
        <v>-575050.42999999993</v>
      </c>
      <c r="E65" s="72">
        <f>SUMIFS(VENTAS!$T$7:$T1040,VENTAS!$A$7:$A1040,"&gt;="&amp;$B65,VENTAS!$A$7:$A1040,"&lt;="&amp;$C65)</f>
        <v>0</v>
      </c>
      <c r="F65" s="72"/>
      <c r="G65" s="72">
        <v>738.85</v>
      </c>
      <c r="H65" s="72">
        <f>SUMIFS(OGI!$N$6:$N1040,OGI!$J$6:$J1040,"&gt;="&amp;$B65,OGI!$J$6:$J1040,"&lt;="&amp;$C65)</f>
        <v>40000</v>
      </c>
      <c r="I65" s="72">
        <f>'RECARGA MP'!R35</f>
        <v>73104</v>
      </c>
      <c r="J65" s="72">
        <f>SUMIFS(COMPRAS!$G$5:$G1039,COMPRAS!$A$5:$A1039,"&gt;="&amp;$B65,COMPRAS!$A$5:$A1039,"&lt;="&amp;$C65)</f>
        <v>0</v>
      </c>
      <c r="K65" s="72">
        <f>SUMIFS(INSUMOS!$H$5:$H1040,INSUMOS!$A$5:$A1040,"&gt;="&amp;$B65,INSUMOS!$A$5:$A1040,"&lt;="&amp;$C65)</f>
        <v>0</v>
      </c>
      <c r="L65" s="72">
        <f>SUMIFS(SIC!G$6:G1041,SIC!$A$6:$A1041,"&gt;="&amp;$B65,SIC!$A$6:$A1041,"&lt;="&amp;$C65)</f>
        <v>35502.310000000005</v>
      </c>
      <c r="M65" s="72">
        <f>SUELDOS!L$64</f>
        <v>30000</v>
      </c>
      <c r="N65" s="72">
        <f>37350.87-536</f>
        <v>36814.870000000003</v>
      </c>
      <c r="O65" s="72">
        <f>SUMIFS(OGI!$E$6:$E1040,OGI!$A$6:$A1040,"&gt;="&amp;$B65,OGI!$A$6:$A1040,"&lt;="&amp;$C65)</f>
        <v>7000</v>
      </c>
      <c r="P65" s="72">
        <f t="shared" si="10"/>
        <v>-716732.76</v>
      </c>
      <c r="Q65" s="87">
        <v>10387.82</v>
      </c>
      <c r="R65" s="87">
        <f t="shared" si="11"/>
        <v>-727120.58</v>
      </c>
      <c r="S65" s="87">
        <f t="shared" si="13"/>
        <v>-123941.21000000008</v>
      </c>
      <c r="T65" s="71"/>
      <c r="U65" s="71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</row>
    <row r="66" spans="1:41" ht="15" customHeight="1">
      <c r="A66" s="66" t="s">
        <v>28</v>
      </c>
      <c r="B66" s="98">
        <v>44951</v>
      </c>
      <c r="C66" s="98">
        <v>44981</v>
      </c>
      <c r="D66" s="72">
        <f t="shared" si="12"/>
        <v>-716732.76</v>
      </c>
      <c r="E66" s="72">
        <f>SUMIFS(VENTAS!$T$7:$T1040,VENTAS!$A$7:$A1040,"&gt;="&amp;$B66,VENTAS!$A$7:$A1040,"&lt;="&amp;$C66)</f>
        <v>0</v>
      </c>
      <c r="F66" s="72">
        <f>31041.99-1800.05+2485.74</f>
        <v>31727.68</v>
      </c>
      <c r="G66" s="72">
        <v>1800.05</v>
      </c>
      <c r="H66" s="72">
        <f>SUMIFS(OGI!$N$6:$N1040,OGI!$J$6:$J1040,"&gt;="&amp;$B66,OGI!$J$6:$J1040,"&lt;="&amp;$C66)</f>
        <v>200000</v>
      </c>
      <c r="I66" s="72">
        <f>'RECARGA MP'!T$35</f>
        <v>14021</v>
      </c>
      <c r="J66" s="72">
        <f>SUMIFS(COMPRAS!$G$5:$G1039,COMPRAS!$A$5:$A1039,"&gt;="&amp;$B66,COMPRAS!$A$5:$A1039,"&lt;="&amp;$C66)</f>
        <v>0</v>
      </c>
      <c r="K66" s="72">
        <f>SUMIFS(INSUMOS!$H$5:$H1040,INSUMOS!$A$5:$A1040,"&gt;="&amp;$B66,INSUMOS!$A$5:$A1040,"&lt;="&amp;$C66)</f>
        <v>5494.84</v>
      </c>
      <c r="L66" s="72">
        <f>SUMIFS(SIC!G$6:G1041,SIC!$A$6:$A1041,"&gt;="&amp;$B66,SIC!$A$6:$A1041,"&lt;="&amp;$C66)</f>
        <v>24865.56</v>
      </c>
      <c r="M66" s="72">
        <f>SUELDOS!L$71</f>
        <v>34790</v>
      </c>
      <c r="N66" s="72"/>
      <c r="O66" s="72">
        <f>SUMIFS(OGI!$E$6:$E1040,OGI!$A$6:$A1040,"&gt;="&amp;$B66,OGI!$A$6:$A1040,"&lt;="&amp;$C66)</f>
        <v>150000</v>
      </c>
      <c r="P66" s="72">
        <f t="shared" si="10"/>
        <v>-712376.43</v>
      </c>
      <c r="Q66" s="87">
        <v>14862.89</v>
      </c>
      <c r="R66" s="87">
        <f t="shared" si="11"/>
        <v>-727239.32000000007</v>
      </c>
      <c r="S66" s="87">
        <f t="shared" si="13"/>
        <v>-118.7400000001071</v>
      </c>
      <c r="T66" s="71"/>
      <c r="U66" s="71"/>
      <c r="V66" s="118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</row>
    <row r="67" spans="1:41" ht="15" customHeight="1">
      <c r="A67" s="66" t="s">
        <v>29</v>
      </c>
      <c r="B67" s="98">
        <v>44982</v>
      </c>
      <c r="C67" s="98">
        <v>45009</v>
      </c>
      <c r="D67" s="72">
        <f t="shared" si="12"/>
        <v>-712376.43</v>
      </c>
      <c r="E67" s="72">
        <f>SUMIFS(VENTAS!$T$7:$T1040,VENTAS!$A$7:$A1040,"&gt;="&amp;$B67,VENTAS!$A$7:$A1040,"&lt;="&amp;$C67)</f>
        <v>0</v>
      </c>
      <c r="F67" s="72">
        <v>1439.34</v>
      </c>
      <c r="G67" s="72">
        <v>996.34</v>
      </c>
      <c r="H67" s="72">
        <f>SUMIFS(OGI!$N$6:$N1040,OGI!$J$6:$J1040,"&gt;="&amp;$B67,OGI!$J$6:$J1040,"&lt;="&amp;$C67)</f>
        <v>0</v>
      </c>
      <c r="I67" s="72">
        <f>'RECARGA MP'!V$35</f>
        <v>2000</v>
      </c>
      <c r="J67" s="72">
        <f>SUMIFS(COMPRAS!$G$5:$G1039,COMPRAS!$A$5:$A1039,"&gt;="&amp;$B67,COMPRAS!$A$5:$A1039,"&lt;="&amp;$C67)</f>
        <v>0</v>
      </c>
      <c r="K67" s="72">
        <f>SUMIFS(INSUMOS!$H$5:$H1040,INSUMOS!$A$5:$A1040,"&gt;="&amp;$B67,INSUMOS!$A$5:$A1040,"&lt;="&amp;$C67)</f>
        <v>0</v>
      </c>
      <c r="L67" s="72">
        <f>SUMIFS(SIC!G$6:G1041,SIC!$A$6:$A1041,"&gt;="&amp;$B67,SIC!$A$6:$A1041,"&lt;="&amp;$C67)</f>
        <v>2435.6800000000003</v>
      </c>
      <c r="M67" s="72">
        <f>SUELDOS!L$79</f>
        <v>14500</v>
      </c>
      <c r="N67" s="72">
        <v>7896.19</v>
      </c>
      <c r="O67" s="72">
        <f>SUMIFS(OGI!$E$6:$E1040,OGI!$A$6:$A1040,"&gt;="&amp;$B67,OGI!$A$6:$A1040,"&lt;="&amp;$C67)</f>
        <v>37500</v>
      </c>
      <c r="P67" s="72">
        <f t="shared" si="10"/>
        <v>-774272.62</v>
      </c>
      <c r="Q67" s="87">
        <v>9337.7000000000007</v>
      </c>
      <c r="R67" s="87">
        <f t="shared" si="11"/>
        <v>-783610.32</v>
      </c>
      <c r="S67" s="87">
        <f t="shared" si="13"/>
        <v>-56370.999999999884</v>
      </c>
      <c r="T67" s="71"/>
      <c r="U67" s="94"/>
      <c r="V67" s="118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</row>
    <row r="68" spans="1:41" ht="15" customHeight="1">
      <c r="A68" s="66" t="s">
        <v>30</v>
      </c>
      <c r="B68" s="98">
        <v>45010</v>
      </c>
      <c r="C68" s="98">
        <v>45040</v>
      </c>
      <c r="D68" s="72">
        <f t="shared" si="12"/>
        <v>-774272.62</v>
      </c>
      <c r="E68" s="72">
        <f>SUMIFS(VENTAS!$T$7:$T1040,VENTAS!$A$7:$A1040,"&gt;="&amp;$B68,VENTAS!$A$7:$A1040,"&lt;="&amp;$C68)</f>
        <v>0</v>
      </c>
      <c r="F68" s="72">
        <v>10000</v>
      </c>
      <c r="G68" s="72"/>
      <c r="H68" s="72">
        <f>SUMIFS(OGI!$N$6:$N1040,OGI!$J$6:$J1040,"&gt;="&amp;$B68,OGI!$J$6:$J1040,"&lt;="&amp;$C68)</f>
        <v>0</v>
      </c>
      <c r="I68" s="72">
        <f>'RECARGA MP'!X$35</f>
        <v>200</v>
      </c>
      <c r="J68" s="72">
        <f>SUMIFS(COMPRAS!$G$5:$G1039,COMPRAS!$A$5:$A1039,"&gt;="&amp;$B68,COMPRAS!$A$5:$A1039,"&lt;="&amp;$C68)</f>
        <v>0</v>
      </c>
      <c r="K68" s="72">
        <f>SUMIFS(INSUMOS!$H$5:$H1040,INSUMOS!$A$5:$A1040,"&gt;="&amp;$B68,INSUMOS!$A$5:$A1040,"&lt;="&amp;$C68)</f>
        <v>0</v>
      </c>
      <c r="L68" s="72">
        <f>SUMIFS(SIC!G$6:G1041,SIC!$A$6:$A1041,"&gt;="&amp;$B68,SIC!$A$6:$A1041,"&lt;="&amp;$C68)</f>
        <v>0</v>
      </c>
      <c r="M68" s="72">
        <f>SUELDOS!L$86</f>
        <v>0</v>
      </c>
      <c r="N68" s="72"/>
      <c r="O68" s="72">
        <f>SUMIFS(OGI!$E$6:$E1040,OGI!$A$6:$A1040,"&gt;="&amp;$B68,OGI!$A$6:$A1040,"&lt;="&amp;$C68)</f>
        <v>0</v>
      </c>
      <c r="P68" s="72">
        <f t="shared" si="10"/>
        <v>-764472.62</v>
      </c>
      <c r="Q68" s="87">
        <f>S74</f>
        <v>0</v>
      </c>
      <c r="R68" s="87">
        <f t="shared" si="11"/>
        <v>-764472.62</v>
      </c>
      <c r="S68" s="87">
        <f t="shared" si="13"/>
        <v>19137.699999999953</v>
      </c>
      <c r="T68" s="71"/>
      <c r="U68" s="87"/>
      <c r="V68" s="119"/>
      <c r="W68" s="118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</row>
    <row r="69" spans="1:41" ht="15" customHeight="1">
      <c r="A69" s="107"/>
      <c r="B69" s="108" t="s">
        <v>31</v>
      </c>
      <c r="C69" s="109"/>
      <c r="D69" s="72"/>
      <c r="E69" s="110">
        <f t="shared" ref="E69:O69" si="14">SUBTOTAL(9,E57:E68)</f>
        <v>0</v>
      </c>
      <c r="F69" s="110">
        <f t="shared" si="14"/>
        <v>58012.17</v>
      </c>
      <c r="G69" s="110">
        <f t="shared" si="14"/>
        <v>8290.51</v>
      </c>
      <c r="H69" s="110">
        <f t="shared" si="14"/>
        <v>250400</v>
      </c>
      <c r="I69" s="110">
        <f t="shared" si="14"/>
        <v>159662.95000000001</v>
      </c>
      <c r="J69" s="110">
        <f t="shared" si="14"/>
        <v>0</v>
      </c>
      <c r="K69" s="110">
        <f t="shared" si="14"/>
        <v>12059.84</v>
      </c>
      <c r="L69" s="110">
        <f t="shared" si="14"/>
        <v>300013.25</v>
      </c>
      <c r="M69" s="110">
        <f t="shared" si="14"/>
        <v>302150</v>
      </c>
      <c r="N69" s="110">
        <f t="shared" si="14"/>
        <v>64019.87000000001</v>
      </c>
      <c r="O69" s="110">
        <f t="shared" si="14"/>
        <v>243269.39</v>
      </c>
      <c r="P69" s="120">
        <f>P68</f>
        <v>-764472.62</v>
      </c>
      <c r="Q69" s="116" t="s">
        <v>106</v>
      </c>
      <c r="R69" s="87">
        <v>2971.31</v>
      </c>
      <c r="S69" s="87"/>
      <c r="T69" s="71"/>
      <c r="U69" s="87"/>
      <c r="V69" s="119"/>
      <c r="W69" s="118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</row>
    <row r="70" spans="1:41" ht="15" customHeight="1">
      <c r="A70" s="71"/>
      <c r="B70" s="71"/>
      <c r="C70" s="71"/>
      <c r="D70" s="71"/>
      <c r="E70" s="475">
        <f>SUM(E69:H69)</f>
        <v>316702.68</v>
      </c>
      <c r="F70" s="476"/>
      <c r="G70" s="476"/>
      <c r="H70" s="477"/>
      <c r="I70" s="475">
        <f>SUM(I69:O69)</f>
        <v>1081175.3</v>
      </c>
      <c r="J70" s="476"/>
      <c r="K70" s="476"/>
      <c r="L70" s="476"/>
      <c r="M70" s="476"/>
      <c r="N70" s="476"/>
      <c r="O70" s="477"/>
      <c r="P70" s="75"/>
      <c r="Q70" s="116" t="s">
        <v>107</v>
      </c>
      <c r="R70" s="87">
        <v>0</v>
      </c>
      <c r="S70" s="87"/>
      <c r="T70" s="71"/>
      <c r="U70" s="87"/>
      <c r="V70" s="119"/>
      <c r="W70" s="118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</row>
    <row r="71" spans="1:41" ht="15" customHeight="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87"/>
      <c r="Q71" s="117">
        <f>P69-R71</f>
        <v>-767443.93</v>
      </c>
      <c r="R71" s="112">
        <f>R69+R70</f>
        <v>2971.31</v>
      </c>
      <c r="S71" s="87"/>
      <c r="T71" s="87"/>
      <c r="U71" s="71"/>
      <c r="V71" s="119"/>
      <c r="W71" s="118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</row>
    <row r="72" spans="1:41" ht="15" customHeight="1">
      <c r="A72" s="69" t="s">
        <v>112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87"/>
      <c r="R72" s="87"/>
      <c r="S72" s="94"/>
      <c r="T72" s="87"/>
      <c r="U72" s="71"/>
      <c r="V72" s="121"/>
      <c r="W72" s="119"/>
      <c r="X72" s="118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</row>
    <row r="73" spans="1:41" ht="15" customHeight="1">
      <c r="A73" s="71"/>
      <c r="B73" s="71"/>
      <c r="C73" s="71"/>
      <c r="D73" s="71"/>
      <c r="E73" s="468" t="s">
        <v>113</v>
      </c>
      <c r="F73" s="458"/>
      <c r="G73" s="458"/>
      <c r="H73" s="458"/>
      <c r="I73" s="458"/>
      <c r="J73" s="459"/>
      <c r="K73" s="63"/>
      <c r="L73" s="468" t="s">
        <v>114</v>
      </c>
      <c r="M73" s="458"/>
      <c r="N73" s="459"/>
      <c r="O73" s="71"/>
      <c r="P73" s="71"/>
      <c r="Q73" s="87"/>
      <c r="R73" s="69"/>
      <c r="S73" s="87"/>
      <c r="T73" s="94"/>
      <c r="U73" s="87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</row>
    <row r="74" spans="1:41" ht="15" customHeight="1">
      <c r="A74" s="95"/>
      <c r="B74" s="96" t="s">
        <v>3</v>
      </c>
      <c r="C74" s="97" t="s">
        <v>4</v>
      </c>
      <c r="D74" s="63" t="s">
        <v>5</v>
      </c>
      <c r="E74" s="63" t="s">
        <v>11</v>
      </c>
      <c r="F74" s="63"/>
      <c r="G74" s="63" t="s">
        <v>12</v>
      </c>
      <c r="H74" s="63" t="s">
        <v>13</v>
      </c>
      <c r="I74" s="63" t="s">
        <v>14</v>
      </c>
      <c r="J74" s="63" t="s">
        <v>97</v>
      </c>
      <c r="K74" s="63" t="s">
        <v>115</v>
      </c>
      <c r="L74" s="63" t="s">
        <v>59</v>
      </c>
      <c r="M74" s="63" t="s">
        <v>116</v>
      </c>
      <c r="N74" s="63" t="s">
        <v>72</v>
      </c>
      <c r="O74" s="63" t="s">
        <v>70</v>
      </c>
      <c r="P74" s="89"/>
      <c r="Q74" s="89"/>
      <c r="R74" s="87"/>
      <c r="S74" s="87"/>
      <c r="T74" s="87"/>
      <c r="U74" s="87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</row>
    <row r="75" spans="1:41" ht="15" customHeight="1">
      <c r="A75" s="66" t="s">
        <v>19</v>
      </c>
      <c r="B75" s="98">
        <v>44676</v>
      </c>
      <c r="C75" s="98">
        <v>44705</v>
      </c>
      <c r="D75" s="72">
        <v>0</v>
      </c>
      <c r="E75" s="72">
        <f>SUMIFS(COMPRAS!H$5:H1039,COMPRAS!$A$5:$A1039,"&gt;="&amp;$B75,COMPRAS!$A$5:$A1039,"&lt;="&amp;$C75)</f>
        <v>0</v>
      </c>
      <c r="F75" s="72"/>
      <c r="G75" s="72">
        <f>SUMIFS(INSUMOS!I$5:I1040,INSUMOS!$A$5:$A1040,"&gt;="&amp;$B75,INSUMOS!$A$5:$A1040,"&lt;="&amp;$C75)</f>
        <v>6518.5</v>
      </c>
      <c r="H75" s="72">
        <f>SUMIFS(SIC!H$5:H1041,SIC!$A$5:$A1041,"&gt;="&amp;$B75,SIC!$A$5:$A1041,"&lt;="&amp;$C75)</f>
        <v>0</v>
      </c>
      <c r="I75" s="72">
        <f>SUELDOS!M$8</f>
        <v>0</v>
      </c>
      <c r="J75" s="72">
        <f>SUMIFS(OGI!$F$6:$F1040,OGI!$A$6:$A1040,"&gt;="&amp;$B75,OGI!$A$6:$A1040,"&lt;="&amp;$C75)</f>
        <v>0</v>
      </c>
      <c r="K75" s="72">
        <f>SUMIFS(OGI!$O$6:$O1040,OGI!$A$6:$A1040,"&gt;="&amp;$B75,OGI!$A$6:$A1040,"&lt;="&amp;$C75)</f>
        <v>0</v>
      </c>
      <c r="L75" s="72">
        <v>0</v>
      </c>
      <c r="M75" s="72">
        <v>0</v>
      </c>
      <c r="N75" s="72">
        <v>0</v>
      </c>
      <c r="O75" s="72">
        <f t="shared" ref="O75:O86" si="15">(D75+E75+G75+H75+I75+J75+K75)-(L75+M75+N75)</f>
        <v>6518.5</v>
      </c>
      <c r="P75" s="71"/>
      <c r="Q75" s="71"/>
      <c r="R75" s="89"/>
      <c r="S75" s="94"/>
      <c r="T75" s="87"/>
      <c r="U75" s="87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</row>
    <row r="76" spans="1:41" ht="15" customHeight="1">
      <c r="A76" s="66" t="s">
        <v>20</v>
      </c>
      <c r="B76" s="98">
        <v>44706</v>
      </c>
      <c r="C76" s="98">
        <v>44736</v>
      </c>
      <c r="D76" s="72">
        <f t="shared" ref="D76:D86" si="16">O75</f>
        <v>6518.5</v>
      </c>
      <c r="E76" s="72">
        <f>SUMIFS(COMPRAS!H$5:H1039,COMPRAS!$A$5:$A1039,"&gt;="&amp;$B76,COMPRAS!$A$5:$A1039,"&lt;="&amp;$C76)</f>
        <v>0</v>
      </c>
      <c r="F76" s="72"/>
      <c r="G76" s="72">
        <f>SUMIFS(INSUMOS!I$5:I1040,INSUMOS!$A$5:$A1040,"&gt;="&amp;$B76,INSUMOS!$A$5:$A1040,"&lt;="&amp;$C76)</f>
        <v>4450</v>
      </c>
      <c r="H76" s="72">
        <f>SUMIFS(SIC!H$5:H1041,SIC!$A$5:$A1041,"&gt;="&amp;$B76,SIC!$A$5:$A1041,"&lt;="&amp;$C76)</f>
        <v>0</v>
      </c>
      <c r="I76" s="72">
        <f>SUELDOS!M$15</f>
        <v>0</v>
      </c>
      <c r="J76" s="72">
        <f>SUMIFS(OGI!$F$6:$F1040,OGI!$A$6:$A1040,"&gt;="&amp;$B76,OGI!$A$6:$A1040,"&lt;="&amp;$C76)</f>
        <v>0</v>
      </c>
      <c r="K76" s="72">
        <f>SUMIFS(OGI!$O$6:$O1040,OGI!$A$6:$A1040,"&gt;="&amp;$B76,OGI!$A$6:$A1040,"&lt;="&amp;$C76)</f>
        <v>0</v>
      </c>
      <c r="L76" s="72">
        <v>0</v>
      </c>
      <c r="M76" s="72">
        <v>0</v>
      </c>
      <c r="N76" s="72">
        <v>0</v>
      </c>
      <c r="O76" s="72">
        <f t="shared" si="15"/>
        <v>10968.5</v>
      </c>
      <c r="P76" s="71"/>
      <c r="Q76" s="71"/>
      <c r="R76" s="71"/>
      <c r="S76" s="87"/>
      <c r="T76" s="87"/>
      <c r="U76" s="87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</row>
    <row r="77" spans="1:41" ht="15" customHeight="1">
      <c r="A77" s="66" t="s">
        <v>21</v>
      </c>
      <c r="B77" s="98">
        <v>44737</v>
      </c>
      <c r="C77" s="98">
        <v>44766</v>
      </c>
      <c r="D77" s="72">
        <f t="shared" si="16"/>
        <v>10968.5</v>
      </c>
      <c r="E77" s="72">
        <f>SUMIFS(COMPRAS!H$5:H1039,COMPRAS!$A$5:$A1039,"&gt;="&amp;$B77,COMPRAS!$A$5:$A1039,"&lt;="&amp;$C77)</f>
        <v>0</v>
      </c>
      <c r="F77" s="72"/>
      <c r="G77" s="72">
        <f>SUMIFS(INSUMOS!I$5:I1040,INSUMOS!$A$5:$A1040,"&gt;="&amp;$B77,INSUMOS!$A$5:$A1040,"&lt;="&amp;$C77)</f>
        <v>0</v>
      </c>
      <c r="H77" s="72">
        <f>SUMIFS(SIC!H$5:H1041,SIC!$A$5:$A1041,"&gt;="&amp;$B77,SIC!$A$5:$A1041,"&lt;="&amp;$C77)</f>
        <v>0</v>
      </c>
      <c r="I77" s="72">
        <f>SUELDOS!M$22</f>
        <v>0</v>
      </c>
      <c r="J77" s="72">
        <f>SUMIFS(OGI!$F$6:$F1040,OGI!$A$6:$A1040,"&gt;="&amp;$B77,OGI!$A$6:$A1040,"&lt;="&amp;$C77)</f>
        <v>0</v>
      </c>
      <c r="K77" s="72">
        <f>SUMIFS(OGI!$O$6:$O1040,OGI!$A$6:$A1040,"&gt;="&amp;$B77,OGI!$A$6:$A1040,"&lt;="&amp;$C77)</f>
        <v>600000</v>
      </c>
      <c r="L77" s="72">
        <v>0</v>
      </c>
      <c r="M77" s="72">
        <v>0</v>
      </c>
      <c r="N77" s="72">
        <v>0</v>
      </c>
      <c r="O77" s="72">
        <f t="shared" si="15"/>
        <v>610968.5</v>
      </c>
      <c r="P77" s="71"/>
      <c r="Q77" s="71"/>
      <c r="R77" s="71"/>
      <c r="S77" s="87"/>
      <c r="T77" s="87"/>
      <c r="U77" s="87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</row>
    <row r="78" spans="1:41" ht="15" customHeight="1">
      <c r="A78" s="66" t="s">
        <v>22</v>
      </c>
      <c r="B78" s="98">
        <v>44767</v>
      </c>
      <c r="C78" s="98">
        <v>44797</v>
      </c>
      <c r="D78" s="72">
        <f t="shared" si="16"/>
        <v>610968.5</v>
      </c>
      <c r="E78" s="72">
        <f>SUMIFS(COMPRAS!H$5:H1039,COMPRAS!$A$5:$A1039,"&gt;="&amp;$B78,COMPRAS!$A$5:$A1039,"&lt;="&amp;$C78)</f>
        <v>0</v>
      </c>
      <c r="F78" s="72"/>
      <c r="G78" s="72">
        <f>SUMIFS(INSUMOS!I$5:I1040,INSUMOS!$A$5:$A1040,"&gt;="&amp;$B78,INSUMOS!$A$5:$A1040,"&lt;="&amp;$C78)</f>
        <v>0</v>
      </c>
      <c r="H78" s="72">
        <f>SUMIFS(SIC!H$5:H1041,SIC!$A$5:$A1041,"&gt;="&amp;$B78,SIC!$A$5:$A1041,"&lt;="&amp;$C78)</f>
        <v>0</v>
      </c>
      <c r="I78" s="72">
        <f>SUELDOS!M$29</f>
        <v>0</v>
      </c>
      <c r="J78" s="72">
        <f>SUMIFS(OGI!$F$6:$F1040,OGI!$A$6:$A1040,"&gt;="&amp;$B78,OGI!$A$6:$A1040,"&lt;="&amp;$C78)</f>
        <v>0</v>
      </c>
      <c r="K78" s="72">
        <f>SUMIFS(OGI!$O$6:$O1040,OGI!$A$6:$A1040,"&gt;="&amp;$B78,OGI!$A$6:$A1040,"&lt;="&amp;$C78)</f>
        <v>0</v>
      </c>
      <c r="L78" s="72">
        <v>0</v>
      </c>
      <c r="M78" s="72">
        <v>0</v>
      </c>
      <c r="N78" s="72">
        <v>0</v>
      </c>
      <c r="O78" s="72">
        <f t="shared" si="15"/>
        <v>610968.5</v>
      </c>
      <c r="P78" s="71"/>
      <c r="Q78" s="71"/>
      <c r="R78" s="71"/>
      <c r="S78" s="87"/>
      <c r="T78" s="87"/>
      <c r="U78" s="87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</row>
    <row r="79" spans="1:41" ht="15" customHeight="1">
      <c r="A79" s="66" t="s">
        <v>23</v>
      </c>
      <c r="B79" s="98">
        <v>44798</v>
      </c>
      <c r="C79" s="98">
        <v>44828</v>
      </c>
      <c r="D79" s="72">
        <f t="shared" si="16"/>
        <v>610968.5</v>
      </c>
      <c r="E79" s="72">
        <f>SUMIFS(COMPRAS!H$5:H1039,COMPRAS!$A$5:$A1039,"&gt;="&amp;$B79,COMPRAS!$A$5:$A1039,"&lt;="&amp;$C79)</f>
        <v>0</v>
      </c>
      <c r="F79" s="72"/>
      <c r="G79" s="72">
        <f>SUMIFS(INSUMOS!I$5:I1040,INSUMOS!$A$5:$A1040,"&gt;="&amp;$B79,INSUMOS!$A$5:$A1040,"&lt;="&amp;$C79)</f>
        <v>0</v>
      </c>
      <c r="H79" s="72">
        <f>SUMIFS(SIC!H$5:H1041,SIC!$A$5:$A1041,"&gt;="&amp;$B79,SIC!$A$5:$A1041,"&lt;="&amp;$C79)</f>
        <v>0</v>
      </c>
      <c r="I79" s="72">
        <f>SUELDOS!M$36</f>
        <v>0</v>
      </c>
      <c r="J79" s="72">
        <f>SUMIFS(OGI!$F$6:$F1040,OGI!$A$6:$A1040,"&gt;="&amp;$B79,OGI!$A$6:$A1040,"&lt;="&amp;$C79)</f>
        <v>0</v>
      </c>
      <c r="K79" s="72">
        <f>SUMIFS(OGI!$O$6:$O1040,OGI!$A$6:$A1040,"&gt;="&amp;$B79,OGI!$A$6:$A1040,"&lt;="&amp;$C79)</f>
        <v>0</v>
      </c>
      <c r="L79" s="72">
        <v>0</v>
      </c>
      <c r="M79" s="72">
        <v>0</v>
      </c>
      <c r="N79" s="72">
        <v>0</v>
      </c>
      <c r="O79" s="72">
        <f t="shared" si="15"/>
        <v>610968.5</v>
      </c>
      <c r="P79" s="71"/>
      <c r="Q79" s="71"/>
      <c r="R79" s="71"/>
      <c r="S79" s="87"/>
      <c r="T79" s="87"/>
      <c r="U79" s="87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</row>
    <row r="80" spans="1:41" ht="15" customHeight="1">
      <c r="A80" s="66" t="s">
        <v>24</v>
      </c>
      <c r="B80" s="98">
        <v>44829</v>
      </c>
      <c r="C80" s="98">
        <v>44858</v>
      </c>
      <c r="D80" s="72">
        <f t="shared" si="16"/>
        <v>610968.5</v>
      </c>
      <c r="E80" s="72">
        <f>SUMIFS(COMPRAS!H$5:H1039,COMPRAS!$A$5:$A1039,"&gt;="&amp;$B80,COMPRAS!$A$5:$A1039,"&lt;="&amp;$C80)</f>
        <v>0</v>
      </c>
      <c r="F80" s="72"/>
      <c r="G80" s="72">
        <f>SUMIFS(INSUMOS!I$5:I1040,INSUMOS!$A$5:$A1040,"&gt;="&amp;$B80,INSUMOS!$A$5:$A1040,"&lt;="&amp;$C80)</f>
        <v>0</v>
      </c>
      <c r="H80" s="72">
        <f>SUMIFS(SIC!H$5:H1041,SIC!$A$5:$A1041,"&gt;="&amp;$B80,SIC!$A$5:$A1041,"&lt;="&amp;$C80)</f>
        <v>0</v>
      </c>
      <c r="I80" s="72">
        <f>SUELDOS!M$43</f>
        <v>0</v>
      </c>
      <c r="J80" s="72">
        <f>SUMIFS(OGI!$F$6:$F1040,OGI!$A$6:$A1040,"&gt;="&amp;$B80,OGI!$A$6:$A1040,"&lt;="&amp;$C80)</f>
        <v>0</v>
      </c>
      <c r="K80" s="72">
        <f>SUMIFS(OGI!$O$6:$O1040,OGI!$A$6:$A1040,"&gt;="&amp;$B80,OGI!$A$6:$A1040,"&lt;="&amp;$C80)</f>
        <v>0</v>
      </c>
      <c r="L80" s="72">
        <v>0</v>
      </c>
      <c r="M80" s="72">
        <v>0</v>
      </c>
      <c r="N80" s="72">
        <v>0</v>
      </c>
      <c r="O80" s="72">
        <f t="shared" si="15"/>
        <v>610968.5</v>
      </c>
      <c r="P80" s="71"/>
      <c r="Q80" s="71"/>
      <c r="R80" s="71"/>
      <c r="S80" s="87"/>
      <c r="T80" s="87"/>
      <c r="U80" s="87"/>
      <c r="V80" s="71"/>
      <c r="W80" s="89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</row>
    <row r="81" spans="1:41" ht="15" customHeight="1">
      <c r="A81" s="66" t="s">
        <v>25</v>
      </c>
      <c r="B81" s="98">
        <v>44859</v>
      </c>
      <c r="C81" s="98">
        <v>44889</v>
      </c>
      <c r="D81" s="72">
        <f t="shared" si="16"/>
        <v>610968.5</v>
      </c>
      <c r="E81" s="72">
        <f>SUMIFS(COMPRAS!H$5:H1039,COMPRAS!$A$5:$A1039,"&gt;="&amp;$B81,COMPRAS!$A$5:$A1039,"&lt;="&amp;$C81)</f>
        <v>0</v>
      </c>
      <c r="F81" s="72"/>
      <c r="G81" s="72">
        <f>SUMIFS(INSUMOS!I$5:I1040,INSUMOS!$A$5:$A1040,"&gt;="&amp;$B81,INSUMOS!$A$5:$A1040,"&lt;="&amp;$C81)</f>
        <v>0</v>
      </c>
      <c r="H81" s="72">
        <f>SUMIFS(SIC!H$5:H1041,SIC!$A$5:$A1041,"&gt;="&amp;$B81,SIC!$A$5:$A1041,"&lt;="&amp;$C81)</f>
        <v>0</v>
      </c>
      <c r="I81" s="72">
        <f>SUELDOS!M$50</f>
        <v>0</v>
      </c>
      <c r="J81" s="72">
        <f>SUMIFS(OGI!$F$6:$F1040,OGI!$A$6:$A1040,"&gt;="&amp;$B81,OGI!$A$6:$A1040,"&lt;="&amp;$C81)</f>
        <v>0</v>
      </c>
      <c r="K81" s="72">
        <f>SUMIFS(OGI!$O$6:$O1040,OGI!$A$6:$A1040,"&gt;="&amp;$B81,OGI!$A$6:$A1040,"&lt;="&amp;$C81)</f>
        <v>0</v>
      </c>
      <c r="L81" s="72">
        <v>0</v>
      </c>
      <c r="M81" s="72">
        <v>0</v>
      </c>
      <c r="N81" s="72">
        <v>0</v>
      </c>
      <c r="O81" s="72">
        <f t="shared" si="15"/>
        <v>610968.5</v>
      </c>
      <c r="P81" s="71"/>
      <c r="Q81" s="71"/>
      <c r="R81" s="71"/>
      <c r="S81" s="87"/>
      <c r="T81" s="87"/>
      <c r="U81" s="71"/>
      <c r="V81" s="71"/>
      <c r="W81" s="89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</row>
    <row r="82" spans="1:41" ht="15" customHeight="1">
      <c r="A82" s="66" t="s">
        <v>26</v>
      </c>
      <c r="B82" s="98">
        <v>44890</v>
      </c>
      <c r="C82" s="98">
        <v>44919</v>
      </c>
      <c r="D82" s="72">
        <f t="shared" si="16"/>
        <v>610968.5</v>
      </c>
      <c r="E82" s="72">
        <f>SUMIFS(COMPRAS!H$5:H1039,COMPRAS!$A$5:$A1039,"&gt;="&amp;$B82,COMPRAS!$A$5:$A1039,"&lt;="&amp;$C82)</f>
        <v>0</v>
      </c>
      <c r="F82" s="72"/>
      <c r="G82" s="72">
        <f>SUMIFS(INSUMOS!I$5:I1040,INSUMOS!$A$5:$A1040,"&gt;="&amp;$B82,INSUMOS!$A$5:$A1040,"&lt;="&amp;$C82)</f>
        <v>0</v>
      </c>
      <c r="H82" s="72">
        <f>SUMIFS(SIC!H$5:H1041,SIC!$A$5:$A1041,"&gt;="&amp;$B82,SIC!$A$5:$A1041,"&lt;="&amp;$C82)</f>
        <v>0</v>
      </c>
      <c r="I82" s="72">
        <f>SUELDOS!M$57</f>
        <v>0</v>
      </c>
      <c r="J82" s="72">
        <f>SUMIFS(OGI!$F$6:$F1040,OGI!$A$6:$A1040,"&gt;="&amp;$B82,OGI!$A$6:$A1040,"&lt;="&amp;$C82)</f>
        <v>0</v>
      </c>
      <c r="K82" s="72">
        <f>SUMIFS(OGI!$O$6:$O1040,OGI!$A$6:$A1040,"&gt;="&amp;$B82,OGI!$A$6:$A1040,"&lt;="&amp;$C82)</f>
        <v>0</v>
      </c>
      <c r="L82" s="72">
        <v>0</v>
      </c>
      <c r="M82" s="72">
        <v>0</v>
      </c>
      <c r="N82" s="72">
        <v>0</v>
      </c>
      <c r="O82" s="72">
        <f t="shared" si="15"/>
        <v>610968.5</v>
      </c>
      <c r="P82" s="71"/>
      <c r="Q82" s="71"/>
      <c r="R82" s="71"/>
      <c r="S82" s="87"/>
      <c r="T82" s="87"/>
      <c r="U82" s="71"/>
      <c r="V82" s="71"/>
      <c r="W82" s="89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</row>
    <row r="83" spans="1:41" ht="15" customHeight="1">
      <c r="A83" s="66" t="s">
        <v>27</v>
      </c>
      <c r="B83" s="98">
        <v>44920</v>
      </c>
      <c r="C83" s="98">
        <v>44950</v>
      </c>
      <c r="D83" s="72">
        <f t="shared" si="16"/>
        <v>610968.5</v>
      </c>
      <c r="E83" s="72">
        <f>SUMIFS(COMPRAS!H$5:H1039,COMPRAS!$A$5:$A1039,"&gt;="&amp;$B83,COMPRAS!$A$5:$A1039,"&lt;="&amp;$C83)</f>
        <v>0</v>
      </c>
      <c r="F83" s="72"/>
      <c r="G83" s="72">
        <f>SUMIFS(INSUMOS!I$5:I1040,INSUMOS!$A$5:$A1040,"&gt;="&amp;$B83,INSUMOS!$A$5:$A1040,"&lt;="&amp;$C83)</f>
        <v>0</v>
      </c>
      <c r="H83" s="72">
        <f>SUMIFS(SIC!H$5:H1041,SIC!$A$5:$A1041,"&gt;="&amp;$B83,SIC!$A$5:$A1041,"&lt;="&amp;$C83)</f>
        <v>0</v>
      </c>
      <c r="I83" s="72">
        <f>SUELDOS!M$64</f>
        <v>0</v>
      </c>
      <c r="J83" s="72">
        <f>SUMIFS(OGI!$F$6:$F1040,OGI!$A$6:$A1040,"&gt;="&amp;$B83,OGI!$A$6:$A1040,"&lt;="&amp;$C83)</f>
        <v>0</v>
      </c>
      <c r="K83" s="72">
        <f>SUMIFS(OGI!$O$6:$O1040,OGI!$A$6:$A1040,"&gt;="&amp;$B83,OGI!$A$6:$A1040,"&lt;="&amp;$C83)</f>
        <v>0</v>
      </c>
      <c r="L83" s="72">
        <f>4810</f>
        <v>4810</v>
      </c>
      <c r="M83" s="72">
        <v>0</v>
      </c>
      <c r="N83" s="72">
        <v>0</v>
      </c>
      <c r="O83" s="72">
        <f t="shared" si="15"/>
        <v>606158.5</v>
      </c>
      <c r="P83" s="71"/>
      <c r="Q83" s="71"/>
      <c r="R83" s="71"/>
      <c r="S83" s="87"/>
      <c r="T83" s="87"/>
      <c r="U83" s="71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</row>
    <row r="84" spans="1:41" ht="15" customHeight="1">
      <c r="A84" s="66" t="s">
        <v>28</v>
      </c>
      <c r="B84" s="98">
        <v>44951</v>
      </c>
      <c r="C84" s="98">
        <v>44981</v>
      </c>
      <c r="D84" s="72">
        <f t="shared" si="16"/>
        <v>606158.5</v>
      </c>
      <c r="E84" s="72">
        <f>SUMIFS(COMPRAS!H$5:H1039,COMPRAS!$A$5:$A1039,"&gt;="&amp;$B84,COMPRAS!$A$5:$A1039,"&lt;="&amp;$C84)</f>
        <v>0</v>
      </c>
      <c r="F84" s="72"/>
      <c r="G84" s="72">
        <f>SUMIFS(INSUMOS!I$5:I1040,INSUMOS!$A$5:$A1040,"&gt;="&amp;$B84,INSUMOS!$A$5:$A1040,"&lt;="&amp;$C84)</f>
        <v>16500</v>
      </c>
      <c r="H84" s="72">
        <f>SUMIFS(SIC!H$5:H1041,SIC!$A$5:$A1041,"&gt;="&amp;$B84,SIC!$A$5:$A1041,"&lt;="&amp;$C84)</f>
        <v>0</v>
      </c>
      <c r="I84" s="72">
        <f>SUELDOS!M$71</f>
        <v>0</v>
      </c>
      <c r="J84" s="72">
        <f>SUMIFS(OGI!$F$6:$F1040,OGI!$A$6:$A1040,"&gt;="&amp;$B84,OGI!$A$6:$A1040,"&lt;="&amp;$C84)</f>
        <v>0</v>
      </c>
      <c r="K84" s="72">
        <f>SUMIFS(OGI!$O$6:$O1040,OGI!$A$6:$A1040,"&gt;="&amp;$B84,OGI!$A$6:$A1040,"&lt;="&amp;$C84)</f>
        <v>0</v>
      </c>
      <c r="L84" s="72">
        <f>9163.5</f>
        <v>9163.5</v>
      </c>
      <c r="M84" s="72">
        <v>0</v>
      </c>
      <c r="N84" s="72">
        <v>0</v>
      </c>
      <c r="O84" s="72">
        <f t="shared" si="15"/>
        <v>613495</v>
      </c>
      <c r="P84" s="71"/>
      <c r="Q84" s="71"/>
      <c r="R84" s="71"/>
      <c r="S84" s="87"/>
      <c r="T84" s="87"/>
      <c r="U84" s="71"/>
      <c r="V84" s="89"/>
      <c r="W84" s="71"/>
      <c r="X84" s="89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</row>
    <row r="85" spans="1:41" ht="15" customHeight="1">
      <c r="A85" s="66" t="s">
        <v>29</v>
      </c>
      <c r="B85" s="98">
        <v>44982</v>
      </c>
      <c r="C85" s="98">
        <v>45009</v>
      </c>
      <c r="D85" s="72">
        <f t="shared" si="16"/>
        <v>613495</v>
      </c>
      <c r="E85" s="72">
        <f>SUMIFS(COMPRAS!H$5:H1039,COMPRAS!$A$5:$A1039,"&gt;="&amp;$B85,COMPRAS!$A$5:$A1039,"&lt;="&amp;$C85)</f>
        <v>0</v>
      </c>
      <c r="F85" s="72"/>
      <c r="G85" s="72">
        <f>SUMIFS(INSUMOS!I$5:I1040,INSUMOS!$A$5:$A1040,"&gt;="&amp;$B85,INSUMOS!$A$5:$A1040,"&lt;="&amp;$C85)</f>
        <v>0</v>
      </c>
      <c r="H85" s="72">
        <f>SUMIFS(SIC!H$5:H1041,SIC!$A$5:$A1041,"&gt;="&amp;$B85,SIC!$A$5:$A1041,"&lt;="&amp;$C85)</f>
        <v>0</v>
      </c>
      <c r="I85" s="72">
        <f>SUELDOS!M$79</f>
        <v>0</v>
      </c>
      <c r="J85" s="72">
        <f>SUMIFS(OGI!$F$6:$F1040,OGI!$A$6:$A1040,"&gt;="&amp;$B85,OGI!$A$6:$A1040,"&lt;="&amp;$C85)</f>
        <v>0</v>
      </c>
      <c r="K85" s="72">
        <f>SUMIFS(OGI!$O$6:$O1040,OGI!$A$6:$A1040,"&gt;="&amp;$B85,OGI!$A$6:$A1040,"&lt;="&amp;$C85)</f>
        <v>456000</v>
      </c>
      <c r="L85" s="72">
        <v>238620</v>
      </c>
      <c r="M85" s="72">
        <v>0</v>
      </c>
      <c r="N85" s="72">
        <v>5494.84</v>
      </c>
      <c r="O85" s="72">
        <f t="shared" si="15"/>
        <v>825380.16</v>
      </c>
      <c r="P85" s="71" t="s">
        <v>117</v>
      </c>
      <c r="Q85" s="71"/>
      <c r="R85" s="71"/>
      <c r="S85" s="87"/>
      <c r="T85" s="87"/>
      <c r="U85" s="71"/>
      <c r="V85" s="89"/>
      <c r="W85" s="71"/>
      <c r="X85" s="89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</row>
    <row r="86" spans="1:41" ht="15" customHeight="1">
      <c r="A86" s="66" t="s">
        <v>30</v>
      </c>
      <c r="B86" s="98">
        <v>45010</v>
      </c>
      <c r="C86" s="98">
        <v>45040</v>
      </c>
      <c r="D86" s="72">
        <f t="shared" si="16"/>
        <v>825380.16</v>
      </c>
      <c r="E86" s="72">
        <f>SUMIFS(COMPRAS!H$5:H1039,COMPRAS!$A$5:$A1039,"&gt;="&amp;$B86,COMPRAS!$A$5:$A1039,"&lt;="&amp;$C86)</f>
        <v>0</v>
      </c>
      <c r="F86" s="72"/>
      <c r="G86" s="72">
        <f>SUMIFS(INSUMOS!I$5:I1040,INSUMOS!$A$5:$A1040,"&gt;="&amp;$B86,INSUMOS!$A$5:$A1040,"&lt;="&amp;$C86)</f>
        <v>0</v>
      </c>
      <c r="H86" s="72">
        <f>SUMIFS(SIC!H$5:H1041,SIC!$A$5:$A1041,"&gt;="&amp;$B86,SIC!$A$5:$A1041,"&lt;="&amp;$C86)</f>
        <v>0</v>
      </c>
      <c r="I86" s="72">
        <f>SUELDOS!M$86</f>
        <v>0</v>
      </c>
      <c r="J86" s="72">
        <f>SUMIFS(OGI!$F$6:$F1040,OGI!$A$6:$A1040,"&gt;="&amp;$B86,OGI!$A$6:$A1040,"&lt;="&amp;$C86)</f>
        <v>0</v>
      </c>
      <c r="K86" s="72">
        <f>SUMIFS(OGI!$O$6:$O1040,OGI!$A$6:$A1040,"&gt;="&amp;$B86,OGI!$A$6:$A1040,"&lt;="&amp;$C86)</f>
        <v>0</v>
      </c>
      <c r="L86" s="72">
        <v>0</v>
      </c>
      <c r="M86" s="72">
        <v>0</v>
      </c>
      <c r="N86" s="72">
        <v>0</v>
      </c>
      <c r="O86" s="72">
        <f t="shared" si="15"/>
        <v>825380.16</v>
      </c>
      <c r="P86" s="71"/>
      <c r="Q86" s="71"/>
      <c r="R86" s="71"/>
      <c r="S86" s="87"/>
      <c r="T86" s="87"/>
      <c r="U86" s="71"/>
      <c r="V86" s="89"/>
      <c r="W86" s="71"/>
      <c r="X86" s="89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</row>
    <row r="87" spans="1:41" ht="15" customHeight="1">
      <c r="A87" s="107"/>
      <c r="B87" s="108" t="s">
        <v>31</v>
      </c>
      <c r="C87" s="109"/>
      <c r="D87" s="72"/>
      <c r="E87" s="122">
        <f>SUBTOTAL(9,E75:E86)</f>
        <v>0</v>
      </c>
      <c r="F87" s="122"/>
      <c r="G87" s="122">
        <f t="shared" ref="G87:H87" si="17">SUBTOTAL(9,G75:G86)</f>
        <v>27468.5</v>
      </c>
      <c r="H87" s="122">
        <f t="shared" si="17"/>
        <v>0</v>
      </c>
      <c r="I87" s="122">
        <f>SUBTOTAL(9,I76:I86)</f>
        <v>0</v>
      </c>
      <c r="J87" s="122">
        <f t="shared" ref="J87:N87" si="18">SUBTOTAL(9,J75:J86)</f>
        <v>0</v>
      </c>
      <c r="K87" s="122">
        <f t="shared" si="18"/>
        <v>1056000</v>
      </c>
      <c r="L87" s="122">
        <f t="shared" si="18"/>
        <v>252593.5</v>
      </c>
      <c r="M87" s="122">
        <f t="shared" si="18"/>
        <v>0</v>
      </c>
      <c r="N87" s="122">
        <f t="shared" si="18"/>
        <v>5494.84</v>
      </c>
      <c r="O87" s="120">
        <f>O86</f>
        <v>825380.16</v>
      </c>
      <c r="P87" s="71"/>
      <c r="Q87" s="71"/>
      <c r="R87" s="71"/>
      <c r="S87" s="87"/>
      <c r="T87" s="87"/>
      <c r="U87" s="71"/>
      <c r="V87" s="89"/>
      <c r="W87" s="89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</row>
    <row r="88" spans="1:41" ht="15" customHeight="1">
      <c r="A88" s="71"/>
      <c r="B88" s="71"/>
      <c r="C88" s="71"/>
      <c r="D88" s="71"/>
      <c r="E88" s="478">
        <f>SUM(E87:K87)</f>
        <v>1083468.5</v>
      </c>
      <c r="F88" s="476"/>
      <c r="G88" s="476"/>
      <c r="H88" s="476"/>
      <c r="I88" s="476"/>
      <c r="J88" s="476"/>
      <c r="K88" s="477"/>
      <c r="L88" s="478">
        <f>L87+M87+N87</f>
        <v>258088.34</v>
      </c>
      <c r="M88" s="476"/>
      <c r="N88" s="477"/>
      <c r="O88" s="71"/>
      <c r="P88" s="71"/>
      <c r="Q88" s="87"/>
      <c r="R88" s="71"/>
      <c r="S88" s="87"/>
      <c r="T88" s="87"/>
      <c r="U88" s="71"/>
      <c r="V88" s="89"/>
      <c r="W88" s="89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</row>
    <row r="89" spans="1:41" ht="12.75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87"/>
      <c r="Q89" s="87"/>
      <c r="R89" s="87"/>
      <c r="S89" s="87"/>
      <c r="T89" s="71"/>
      <c r="U89" s="89"/>
      <c r="V89" s="89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</row>
    <row r="90" spans="1:41" ht="12.75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87"/>
      <c r="Q90" s="87"/>
      <c r="R90" s="87"/>
      <c r="S90" s="87"/>
      <c r="T90" s="71"/>
      <c r="U90" s="89"/>
      <c r="V90" s="89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</row>
    <row r="91" spans="1:41" ht="12.75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87"/>
      <c r="Q91" s="87"/>
      <c r="R91" s="87"/>
      <c r="S91" s="87"/>
      <c r="T91" s="71"/>
      <c r="U91" s="89"/>
      <c r="V91" s="89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</row>
    <row r="92" spans="1:41" ht="12.75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87"/>
      <c r="Q92" s="87"/>
      <c r="R92" s="87"/>
      <c r="S92" s="87"/>
      <c r="T92" s="71"/>
      <c r="U92" s="89"/>
      <c r="V92" s="89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</row>
    <row r="93" spans="1:41" ht="12.75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87"/>
      <c r="Q93" s="87"/>
      <c r="R93" s="87"/>
      <c r="S93" s="87"/>
      <c r="T93" s="71"/>
      <c r="U93" s="89"/>
      <c r="V93" s="89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</row>
    <row r="94" spans="1:41" ht="12.75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87"/>
      <c r="Q94" s="87"/>
      <c r="R94" s="87"/>
      <c r="S94" s="87"/>
      <c r="T94" s="71"/>
      <c r="U94" s="89"/>
      <c r="V94" s="89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</row>
    <row r="95" spans="1:41" ht="12.7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87"/>
      <c r="Q95" s="87"/>
      <c r="R95" s="87"/>
      <c r="S95" s="87"/>
      <c r="T95" s="71"/>
      <c r="U95" s="89"/>
      <c r="V95" s="89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</row>
    <row r="96" spans="1:41" ht="12.75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87"/>
      <c r="Q96" s="87"/>
      <c r="R96" s="87"/>
      <c r="S96" s="87"/>
      <c r="T96" s="71"/>
      <c r="U96" s="89"/>
      <c r="V96" s="89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</row>
    <row r="97" spans="1:41" ht="12.75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87"/>
      <c r="Q97" s="87"/>
      <c r="R97" s="87"/>
      <c r="S97" s="87"/>
      <c r="T97" s="71"/>
      <c r="U97" s="89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</row>
    <row r="98" spans="1:41" ht="12.75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87"/>
      <c r="Q98" s="87"/>
      <c r="R98" s="87"/>
      <c r="S98" s="87"/>
      <c r="T98" s="71"/>
      <c r="U98" s="89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</row>
    <row r="99" spans="1:41" ht="12.75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87"/>
      <c r="Q99" s="87"/>
      <c r="R99" s="87"/>
      <c r="S99" s="87"/>
      <c r="T99" s="71"/>
      <c r="U99" s="89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</row>
    <row r="100" spans="1:41" ht="12.75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87"/>
      <c r="Q100" s="87"/>
      <c r="R100" s="87"/>
      <c r="S100" s="87"/>
      <c r="T100" s="71"/>
      <c r="U100" s="89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</row>
    <row r="101" spans="1:41" ht="12.75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87"/>
      <c r="Q101" s="87"/>
      <c r="R101" s="87"/>
      <c r="S101" s="87"/>
      <c r="T101" s="71"/>
      <c r="U101" s="89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</row>
    <row r="102" spans="1:41" ht="12.75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87"/>
      <c r="Q102" s="87"/>
      <c r="R102" s="87"/>
      <c r="S102" s="87"/>
      <c r="T102" s="71"/>
      <c r="U102" s="89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</row>
    <row r="103" spans="1:41" ht="12.75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87"/>
      <c r="Q103" s="87"/>
      <c r="R103" s="87"/>
      <c r="S103" s="87"/>
      <c r="T103" s="71"/>
      <c r="U103" s="89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</row>
    <row r="104" spans="1:41" ht="12.75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87"/>
      <c r="Q104" s="87"/>
      <c r="R104" s="87"/>
      <c r="S104" s="87"/>
      <c r="T104" s="71"/>
      <c r="U104" s="89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</row>
    <row r="105" spans="1:41" ht="12.7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87"/>
      <c r="Q105" s="87"/>
      <c r="R105" s="87"/>
      <c r="S105" s="87"/>
      <c r="T105" s="71"/>
      <c r="U105" s="89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</row>
    <row r="106" spans="1:41" ht="12.75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87"/>
      <c r="Q106" s="87"/>
      <c r="R106" s="87"/>
      <c r="S106" s="87"/>
      <c r="T106" s="71"/>
      <c r="U106" s="89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</row>
    <row r="107" spans="1:41" ht="12.75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87"/>
      <c r="Q107" s="87"/>
      <c r="R107" s="87"/>
      <c r="S107" s="87"/>
      <c r="T107" s="71"/>
      <c r="U107" s="89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</row>
    <row r="108" spans="1:41" ht="12.75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87"/>
      <c r="Q108" s="87"/>
      <c r="R108" s="87"/>
      <c r="S108" s="87"/>
      <c r="T108" s="71"/>
      <c r="U108" s="89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</row>
    <row r="109" spans="1:41" ht="12.75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87"/>
      <c r="Q109" s="87"/>
      <c r="R109" s="87"/>
      <c r="S109" s="87"/>
      <c r="T109" s="71"/>
      <c r="U109" s="89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</row>
    <row r="110" spans="1:41" ht="12.75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87"/>
      <c r="Q110" s="87"/>
      <c r="R110" s="87"/>
      <c r="S110" s="87"/>
      <c r="T110" s="71"/>
      <c r="U110" s="89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</row>
    <row r="111" spans="1:41" ht="12.75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87"/>
      <c r="Q111" s="87"/>
      <c r="R111" s="87"/>
      <c r="S111" s="87"/>
      <c r="T111" s="71"/>
      <c r="U111" s="89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</row>
    <row r="112" spans="1:41" ht="12.75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87"/>
      <c r="Q112" s="87"/>
      <c r="R112" s="87"/>
      <c r="S112" s="87"/>
      <c r="T112" s="71"/>
      <c r="U112" s="89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</row>
    <row r="113" spans="1:41" ht="12.75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87"/>
      <c r="Q113" s="87"/>
      <c r="R113" s="87"/>
      <c r="S113" s="87"/>
      <c r="T113" s="71"/>
      <c r="U113" s="89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</row>
    <row r="114" spans="1:41" ht="12.75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87"/>
      <c r="Q114" s="87"/>
      <c r="R114" s="87"/>
      <c r="S114" s="87"/>
      <c r="T114" s="71"/>
      <c r="U114" s="89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</row>
    <row r="115" spans="1:41" ht="12.7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87"/>
      <c r="Q115" s="87"/>
      <c r="R115" s="87"/>
      <c r="S115" s="87"/>
      <c r="T115" s="71"/>
      <c r="U115" s="89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</row>
    <row r="116" spans="1:41" ht="12.75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87"/>
      <c r="Q116" s="87"/>
      <c r="R116" s="87"/>
      <c r="S116" s="87"/>
      <c r="T116" s="71"/>
      <c r="U116" s="89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</row>
    <row r="117" spans="1:41" ht="12.75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87"/>
      <c r="Q117" s="87"/>
      <c r="R117" s="87"/>
      <c r="S117" s="87"/>
      <c r="T117" s="71"/>
      <c r="U117" s="89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</row>
    <row r="118" spans="1:41" ht="12.75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87"/>
      <c r="Q118" s="87"/>
      <c r="R118" s="87"/>
      <c r="S118" s="87"/>
      <c r="T118" s="71"/>
      <c r="U118" s="89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</row>
    <row r="119" spans="1:41" ht="12.75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87"/>
      <c r="Q119" s="87"/>
      <c r="R119" s="87"/>
      <c r="S119" s="87"/>
      <c r="T119" s="71"/>
      <c r="U119" s="89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</row>
    <row r="120" spans="1:41" ht="12.75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87"/>
      <c r="Q120" s="87"/>
      <c r="R120" s="87"/>
      <c r="S120" s="87"/>
      <c r="T120" s="71"/>
      <c r="U120" s="89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</row>
    <row r="121" spans="1:41" ht="12.75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87"/>
      <c r="Q121" s="87"/>
      <c r="R121" s="87"/>
      <c r="S121" s="87"/>
      <c r="T121" s="71"/>
      <c r="U121" s="89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</row>
    <row r="122" spans="1:41" ht="12.75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87"/>
      <c r="Q122" s="87"/>
      <c r="R122" s="87"/>
      <c r="S122" s="87"/>
      <c r="T122" s="71"/>
      <c r="U122" s="89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</row>
    <row r="123" spans="1:41" ht="12.75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87"/>
      <c r="Q123" s="87"/>
      <c r="R123" s="87"/>
      <c r="S123" s="87"/>
      <c r="T123" s="71"/>
      <c r="U123" s="89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</row>
    <row r="124" spans="1:41" ht="12.75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87"/>
      <c r="Q124" s="87"/>
      <c r="R124" s="87"/>
      <c r="S124" s="87"/>
      <c r="T124" s="71"/>
      <c r="U124" s="89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</row>
    <row r="125" spans="1:41" ht="12.7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87"/>
      <c r="Q125" s="87"/>
      <c r="R125" s="87"/>
      <c r="S125" s="87"/>
      <c r="T125" s="71"/>
      <c r="U125" s="89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</row>
    <row r="126" spans="1:41" ht="12.75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87"/>
      <c r="Q126" s="87"/>
      <c r="R126" s="87"/>
      <c r="S126" s="87"/>
      <c r="T126" s="71"/>
      <c r="U126" s="89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</row>
    <row r="127" spans="1:41" ht="12.75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87"/>
      <c r="Q127" s="87"/>
      <c r="R127" s="87"/>
      <c r="S127" s="87"/>
      <c r="T127" s="71"/>
      <c r="U127" s="89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</row>
    <row r="128" spans="1:41" ht="12.75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87"/>
      <c r="Q128" s="87"/>
      <c r="R128" s="87"/>
      <c r="S128" s="87"/>
      <c r="T128" s="71"/>
      <c r="U128" s="89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</row>
    <row r="129" spans="1:41" ht="12.75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87"/>
      <c r="Q129" s="87"/>
      <c r="R129" s="87"/>
      <c r="S129" s="87"/>
      <c r="T129" s="71"/>
      <c r="U129" s="89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</row>
    <row r="130" spans="1:41" ht="12.75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87"/>
      <c r="Q130" s="87"/>
      <c r="R130" s="87"/>
      <c r="S130" s="87"/>
      <c r="T130" s="71"/>
      <c r="U130" s="89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</row>
    <row r="131" spans="1:41" ht="12.75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87"/>
      <c r="Q131" s="87"/>
      <c r="R131" s="87"/>
      <c r="S131" s="87"/>
      <c r="T131" s="71"/>
      <c r="U131" s="89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</row>
    <row r="132" spans="1:41" ht="12.75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87"/>
      <c r="Q132" s="87"/>
      <c r="R132" s="87"/>
      <c r="S132" s="87"/>
      <c r="T132" s="71"/>
      <c r="U132" s="89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</row>
    <row r="133" spans="1:41" ht="12.75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87"/>
      <c r="Q133" s="87"/>
      <c r="R133" s="87"/>
      <c r="S133" s="87"/>
      <c r="T133" s="71"/>
      <c r="U133" s="89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</row>
    <row r="134" spans="1:41" ht="12.75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87"/>
      <c r="Q134" s="87"/>
      <c r="R134" s="87"/>
      <c r="S134" s="87"/>
      <c r="T134" s="71"/>
      <c r="U134" s="89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</row>
    <row r="135" spans="1:41" ht="12.7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87"/>
      <c r="Q135" s="87"/>
      <c r="R135" s="87"/>
      <c r="S135" s="87"/>
      <c r="T135" s="71"/>
      <c r="U135" s="89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</row>
    <row r="136" spans="1:41" ht="12.75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87"/>
      <c r="Q136" s="87"/>
      <c r="R136" s="87"/>
      <c r="S136" s="87"/>
      <c r="T136" s="71"/>
      <c r="U136" s="89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</row>
    <row r="137" spans="1:41" ht="12.75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87"/>
      <c r="Q137" s="87"/>
      <c r="R137" s="87"/>
      <c r="S137" s="87"/>
      <c r="T137" s="71"/>
      <c r="U137" s="89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</row>
    <row r="138" spans="1:41" ht="12.75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87"/>
      <c r="Q138" s="87"/>
      <c r="R138" s="87"/>
      <c r="S138" s="87"/>
      <c r="T138" s="71"/>
      <c r="U138" s="89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</row>
    <row r="139" spans="1:41" ht="12.75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87"/>
      <c r="Q139" s="87"/>
      <c r="R139" s="87"/>
      <c r="S139" s="87"/>
      <c r="T139" s="71"/>
      <c r="U139" s="89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</row>
    <row r="140" spans="1:41" ht="12.75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87"/>
      <c r="Q140" s="87"/>
      <c r="R140" s="87"/>
      <c r="S140" s="87"/>
      <c r="T140" s="71"/>
      <c r="U140" s="89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</row>
    <row r="141" spans="1:41" ht="12.75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87"/>
      <c r="Q141" s="87"/>
      <c r="R141" s="87"/>
      <c r="S141" s="87"/>
      <c r="T141" s="71"/>
      <c r="U141" s="89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</row>
    <row r="142" spans="1:41" ht="12.75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87"/>
      <c r="Q142" s="87"/>
      <c r="R142" s="87"/>
      <c r="S142" s="87"/>
      <c r="T142" s="71"/>
      <c r="U142" s="89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</row>
    <row r="143" spans="1:41" ht="12.75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87"/>
      <c r="Q143" s="87"/>
      <c r="R143" s="87"/>
      <c r="S143" s="87"/>
      <c r="T143" s="71"/>
      <c r="U143" s="89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</row>
    <row r="144" spans="1:41" ht="12.75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87"/>
      <c r="Q144" s="87"/>
      <c r="R144" s="87"/>
      <c r="S144" s="87"/>
      <c r="T144" s="71"/>
      <c r="U144" s="89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</row>
    <row r="145" spans="1:41" ht="12.7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87"/>
      <c r="Q145" s="87"/>
      <c r="R145" s="87"/>
      <c r="S145" s="87"/>
      <c r="T145" s="71"/>
      <c r="U145" s="89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</row>
    <row r="146" spans="1:41" ht="12.75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87"/>
      <c r="Q146" s="87"/>
      <c r="R146" s="87"/>
      <c r="S146" s="87"/>
      <c r="T146" s="71"/>
      <c r="U146" s="89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</row>
    <row r="147" spans="1:41" ht="12.75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87"/>
      <c r="Q147" s="87"/>
      <c r="R147" s="87"/>
      <c r="S147" s="87"/>
      <c r="T147" s="71"/>
      <c r="U147" s="89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</row>
    <row r="148" spans="1:41" ht="12.75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87"/>
      <c r="Q148" s="87"/>
      <c r="R148" s="87"/>
      <c r="S148" s="87"/>
      <c r="T148" s="71"/>
      <c r="U148" s="89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</row>
    <row r="149" spans="1:41" ht="12.75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87"/>
      <c r="Q149" s="87"/>
      <c r="R149" s="87"/>
      <c r="S149" s="87"/>
      <c r="T149" s="71"/>
      <c r="U149" s="89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</row>
    <row r="150" spans="1:41" ht="12.75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87"/>
      <c r="Q150" s="87"/>
      <c r="R150" s="87"/>
      <c r="S150" s="87"/>
      <c r="T150" s="71"/>
      <c r="U150" s="89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</row>
    <row r="151" spans="1:41" ht="12.75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87"/>
      <c r="Q151" s="87"/>
      <c r="R151" s="87"/>
      <c r="S151" s="87"/>
      <c r="T151" s="71"/>
      <c r="U151" s="89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</row>
    <row r="152" spans="1:41" ht="12.75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87"/>
      <c r="Q152" s="87"/>
      <c r="R152" s="87"/>
      <c r="S152" s="87"/>
      <c r="T152" s="71"/>
      <c r="U152" s="89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</row>
    <row r="153" spans="1:41" ht="12.75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87"/>
      <c r="Q153" s="87"/>
      <c r="R153" s="87"/>
      <c r="S153" s="87"/>
      <c r="T153" s="71"/>
      <c r="U153" s="89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</row>
    <row r="154" spans="1:41" ht="12.75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87"/>
      <c r="Q154" s="87"/>
      <c r="R154" s="87"/>
      <c r="S154" s="87"/>
      <c r="T154" s="71"/>
      <c r="U154" s="89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</row>
    <row r="155" spans="1:41" ht="12.7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87"/>
      <c r="Q155" s="87"/>
      <c r="R155" s="87"/>
      <c r="S155" s="87"/>
      <c r="T155" s="71"/>
      <c r="U155" s="89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</row>
    <row r="156" spans="1:41" ht="12.75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87"/>
      <c r="Q156" s="87"/>
      <c r="R156" s="87"/>
      <c r="S156" s="87"/>
      <c r="T156" s="71"/>
      <c r="U156" s="89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</row>
    <row r="157" spans="1:41" ht="12.75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87"/>
      <c r="Q157" s="87"/>
      <c r="R157" s="87"/>
      <c r="S157" s="87"/>
      <c r="T157" s="71"/>
      <c r="U157" s="89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</row>
    <row r="158" spans="1:41" ht="12.75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87"/>
      <c r="Q158" s="87"/>
      <c r="R158" s="87"/>
      <c r="S158" s="87"/>
      <c r="T158" s="71"/>
      <c r="U158" s="89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</row>
    <row r="159" spans="1:41" ht="12.75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87"/>
      <c r="Q159" s="87"/>
      <c r="R159" s="87"/>
      <c r="S159" s="87"/>
      <c r="T159" s="71"/>
      <c r="U159" s="89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</row>
    <row r="160" spans="1:41" ht="12.75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87"/>
      <c r="Q160" s="87"/>
      <c r="R160" s="87"/>
      <c r="S160" s="87"/>
      <c r="T160" s="71"/>
      <c r="U160" s="89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</row>
    <row r="161" spans="1:41" ht="12.75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87"/>
      <c r="Q161" s="87"/>
      <c r="R161" s="87"/>
      <c r="S161" s="87"/>
      <c r="T161" s="71"/>
      <c r="U161" s="89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</row>
    <row r="162" spans="1:41" ht="12.75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87"/>
      <c r="Q162" s="87"/>
      <c r="R162" s="87"/>
      <c r="S162" s="87"/>
      <c r="T162" s="71"/>
      <c r="U162" s="89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</row>
    <row r="163" spans="1:41" ht="12.75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87"/>
      <c r="Q163" s="87"/>
      <c r="R163" s="87"/>
      <c r="S163" s="87"/>
      <c r="T163" s="71"/>
      <c r="U163" s="89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</row>
    <row r="164" spans="1:41" ht="12.75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87"/>
      <c r="Q164" s="87"/>
      <c r="R164" s="87"/>
      <c r="S164" s="87"/>
      <c r="T164" s="71"/>
      <c r="U164" s="89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</row>
    <row r="165" spans="1:41" ht="12.7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87"/>
      <c r="Q165" s="87"/>
      <c r="R165" s="87"/>
      <c r="S165" s="87"/>
      <c r="T165" s="71"/>
      <c r="U165" s="89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</row>
    <row r="166" spans="1:41" ht="12.75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87"/>
      <c r="Q166" s="87"/>
      <c r="R166" s="87"/>
      <c r="S166" s="87"/>
      <c r="T166" s="71"/>
      <c r="U166" s="89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</row>
    <row r="167" spans="1:41" ht="12.75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87"/>
      <c r="Q167" s="87"/>
      <c r="R167" s="87"/>
      <c r="S167" s="87"/>
      <c r="T167" s="71"/>
      <c r="U167" s="89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</row>
    <row r="168" spans="1:41" ht="12.75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87"/>
      <c r="Q168" s="87"/>
      <c r="R168" s="87"/>
      <c r="S168" s="87"/>
      <c r="T168" s="71"/>
      <c r="U168" s="89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</row>
    <row r="169" spans="1:41" ht="12.75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87"/>
      <c r="Q169" s="87"/>
      <c r="R169" s="87"/>
      <c r="S169" s="87"/>
      <c r="T169" s="71"/>
      <c r="U169" s="89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</row>
    <row r="170" spans="1:41" ht="12.75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87"/>
      <c r="Q170" s="87"/>
      <c r="R170" s="87"/>
      <c r="S170" s="87"/>
      <c r="T170" s="71"/>
      <c r="U170" s="89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</row>
    <row r="171" spans="1:41" ht="12.75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87"/>
      <c r="Q171" s="87"/>
      <c r="R171" s="87"/>
      <c r="S171" s="87"/>
      <c r="T171" s="71"/>
      <c r="U171" s="89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</row>
    <row r="172" spans="1:41" ht="12.75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87"/>
      <c r="Q172" s="87"/>
      <c r="R172" s="87"/>
      <c r="S172" s="87"/>
      <c r="T172" s="71"/>
      <c r="U172" s="89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</row>
    <row r="173" spans="1:41" ht="12.75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87"/>
      <c r="Q173" s="87"/>
      <c r="R173" s="87"/>
      <c r="S173" s="87"/>
      <c r="T173" s="71"/>
      <c r="U173" s="89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</row>
    <row r="174" spans="1:41" ht="12.75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87"/>
      <c r="Q174" s="87"/>
      <c r="R174" s="87"/>
      <c r="S174" s="87"/>
      <c r="T174" s="71"/>
      <c r="U174" s="89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</row>
    <row r="175" spans="1:41" ht="12.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87"/>
      <c r="Q175" s="87"/>
      <c r="R175" s="87"/>
      <c r="S175" s="87"/>
      <c r="T175" s="71"/>
      <c r="U175" s="89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</row>
    <row r="176" spans="1:41" ht="12.75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87"/>
      <c r="Q176" s="87"/>
      <c r="R176" s="87"/>
      <c r="S176" s="87"/>
      <c r="T176" s="71"/>
      <c r="U176" s="89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</row>
    <row r="177" spans="1:41" ht="12.75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87"/>
      <c r="Q177" s="87"/>
      <c r="R177" s="87"/>
      <c r="S177" s="87"/>
      <c r="T177" s="71"/>
      <c r="U177" s="89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</row>
    <row r="178" spans="1:41" ht="12.75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87"/>
      <c r="Q178" s="87"/>
      <c r="R178" s="87"/>
      <c r="S178" s="87"/>
      <c r="T178" s="71"/>
      <c r="U178" s="89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</row>
    <row r="179" spans="1:41" ht="12.75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87"/>
      <c r="Q179" s="87"/>
      <c r="R179" s="87"/>
      <c r="S179" s="87"/>
      <c r="T179" s="71"/>
      <c r="U179" s="89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</row>
    <row r="180" spans="1:41" ht="12.75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87"/>
      <c r="Q180" s="87"/>
      <c r="R180" s="87"/>
      <c r="S180" s="87"/>
      <c r="T180" s="71"/>
      <c r="U180" s="89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</row>
    <row r="181" spans="1:41" ht="12.75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87"/>
      <c r="Q181" s="87"/>
      <c r="R181" s="87"/>
      <c r="S181" s="87"/>
      <c r="T181" s="71"/>
      <c r="U181" s="89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</row>
    <row r="182" spans="1:41" ht="12.75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87"/>
      <c r="Q182" s="87"/>
      <c r="R182" s="87"/>
      <c r="S182" s="87"/>
      <c r="T182" s="71"/>
      <c r="U182" s="89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</row>
    <row r="183" spans="1:41" ht="12.75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87"/>
      <c r="Q183" s="87"/>
      <c r="R183" s="87"/>
      <c r="S183" s="87"/>
      <c r="T183" s="71"/>
      <c r="U183" s="89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</row>
    <row r="184" spans="1:41" ht="12.75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87"/>
      <c r="Q184" s="87"/>
      <c r="R184" s="87"/>
      <c r="S184" s="87"/>
      <c r="T184" s="71"/>
      <c r="U184" s="89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</row>
    <row r="185" spans="1:41" ht="12.7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87"/>
      <c r="Q185" s="87"/>
      <c r="R185" s="87"/>
      <c r="S185" s="87"/>
      <c r="T185" s="71"/>
      <c r="U185" s="89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</row>
    <row r="186" spans="1:41" ht="12.75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87"/>
      <c r="Q186" s="87"/>
      <c r="R186" s="87"/>
      <c r="S186" s="87"/>
      <c r="T186" s="71"/>
      <c r="U186" s="89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</row>
    <row r="187" spans="1:41" ht="12.75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87"/>
      <c r="Q187" s="87"/>
      <c r="R187" s="87"/>
      <c r="S187" s="87"/>
      <c r="T187" s="71"/>
      <c r="U187" s="89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</row>
    <row r="188" spans="1:41" ht="12.75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87"/>
      <c r="Q188" s="87"/>
      <c r="R188" s="87"/>
      <c r="S188" s="87"/>
      <c r="T188" s="71"/>
      <c r="U188" s="89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</row>
    <row r="189" spans="1:41" ht="12.75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87"/>
      <c r="Q189" s="87"/>
      <c r="R189" s="87"/>
      <c r="S189" s="87"/>
      <c r="T189" s="71"/>
      <c r="U189" s="89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</row>
    <row r="190" spans="1:41" ht="12.75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87"/>
      <c r="Q190" s="87"/>
      <c r="R190" s="87"/>
      <c r="S190" s="87"/>
      <c r="T190" s="71"/>
      <c r="U190" s="89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</row>
    <row r="191" spans="1:41" ht="12.75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87"/>
      <c r="Q191" s="87"/>
      <c r="R191" s="87"/>
      <c r="S191" s="87"/>
      <c r="T191" s="71"/>
      <c r="U191" s="89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</row>
    <row r="192" spans="1:41" ht="12.75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87"/>
      <c r="Q192" s="87"/>
      <c r="R192" s="87"/>
      <c r="S192" s="87"/>
      <c r="T192" s="71"/>
      <c r="U192" s="89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</row>
    <row r="193" spans="1:41" ht="12.75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87"/>
      <c r="Q193" s="87"/>
      <c r="R193" s="87"/>
      <c r="S193" s="87"/>
      <c r="T193" s="71"/>
      <c r="U193" s="89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</row>
    <row r="194" spans="1:41" ht="12.75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87"/>
      <c r="Q194" s="87"/>
      <c r="R194" s="87"/>
      <c r="S194" s="87"/>
      <c r="T194" s="71"/>
      <c r="U194" s="89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</row>
    <row r="195" spans="1:41" ht="12.7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87"/>
      <c r="Q195" s="87"/>
      <c r="R195" s="87"/>
      <c r="S195" s="87"/>
      <c r="T195" s="71"/>
      <c r="U195" s="89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</row>
    <row r="196" spans="1:41" ht="12.75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87"/>
      <c r="Q196" s="87"/>
      <c r="R196" s="87"/>
      <c r="S196" s="87"/>
      <c r="T196" s="71"/>
      <c r="U196" s="89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</row>
    <row r="197" spans="1:41" ht="12.75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87"/>
      <c r="Q197" s="87"/>
      <c r="R197" s="87"/>
      <c r="S197" s="87"/>
      <c r="T197" s="71"/>
      <c r="U197" s="89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</row>
    <row r="198" spans="1:41" ht="12.75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87"/>
      <c r="Q198" s="87"/>
      <c r="R198" s="87"/>
      <c r="S198" s="87"/>
      <c r="T198" s="71"/>
      <c r="U198" s="89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</row>
    <row r="199" spans="1:41" ht="12.75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87"/>
      <c r="Q199" s="87"/>
      <c r="R199" s="87"/>
      <c r="S199" s="87"/>
      <c r="T199" s="71"/>
      <c r="U199" s="89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</row>
    <row r="200" spans="1:41" ht="12.75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87"/>
      <c r="Q200" s="87"/>
      <c r="R200" s="87"/>
      <c r="S200" s="87"/>
      <c r="T200" s="71"/>
      <c r="U200" s="89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</row>
    <row r="201" spans="1:41" ht="12.75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87"/>
      <c r="Q201" s="87"/>
      <c r="R201" s="87"/>
      <c r="S201" s="87"/>
      <c r="T201" s="71"/>
      <c r="U201" s="89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</row>
    <row r="202" spans="1:41" ht="12.75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87"/>
      <c r="Q202" s="87"/>
      <c r="R202" s="87"/>
      <c r="S202" s="87"/>
      <c r="T202" s="71"/>
      <c r="U202" s="89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</row>
    <row r="203" spans="1:41" ht="12.75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87"/>
      <c r="Q203" s="87"/>
      <c r="R203" s="87"/>
      <c r="S203" s="87"/>
      <c r="T203" s="71"/>
      <c r="U203" s="89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</row>
    <row r="204" spans="1:41" ht="12.75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87"/>
      <c r="Q204" s="87"/>
      <c r="R204" s="87"/>
      <c r="S204" s="87"/>
      <c r="T204" s="71"/>
      <c r="U204" s="89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</row>
    <row r="205" spans="1:41" ht="12.7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87"/>
      <c r="Q205" s="87"/>
      <c r="R205" s="87"/>
      <c r="S205" s="87"/>
      <c r="T205" s="71"/>
      <c r="U205" s="89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</row>
    <row r="206" spans="1:41" ht="12.75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87"/>
      <c r="Q206" s="87"/>
      <c r="R206" s="87"/>
      <c r="S206" s="87"/>
      <c r="T206" s="71"/>
      <c r="U206" s="89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</row>
    <row r="207" spans="1:41" ht="12.75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87"/>
      <c r="Q207" s="87"/>
      <c r="R207" s="87"/>
      <c r="S207" s="87"/>
      <c r="T207" s="71"/>
      <c r="U207" s="89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</row>
    <row r="208" spans="1:41" ht="12.75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87"/>
      <c r="Q208" s="87"/>
      <c r="R208" s="87"/>
      <c r="S208" s="87"/>
      <c r="T208" s="71"/>
      <c r="U208" s="89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</row>
    <row r="209" spans="1:41" ht="12.75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87"/>
      <c r="Q209" s="87"/>
      <c r="R209" s="87"/>
      <c r="S209" s="87"/>
      <c r="T209" s="71"/>
      <c r="U209" s="89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</row>
    <row r="210" spans="1:41" ht="12.75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87"/>
      <c r="Q210" s="87"/>
      <c r="R210" s="87"/>
      <c r="S210" s="87"/>
      <c r="T210" s="71"/>
      <c r="U210" s="89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</row>
    <row r="211" spans="1:41" ht="12.75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87"/>
      <c r="Q211" s="87"/>
      <c r="R211" s="87"/>
      <c r="S211" s="87"/>
      <c r="T211" s="71"/>
      <c r="U211" s="89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</row>
    <row r="212" spans="1:41" ht="12.75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87"/>
      <c r="Q212" s="87"/>
      <c r="R212" s="87"/>
      <c r="S212" s="87"/>
      <c r="T212" s="71"/>
      <c r="U212" s="89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</row>
    <row r="213" spans="1:41" ht="12.75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87"/>
      <c r="Q213" s="87"/>
      <c r="R213" s="87"/>
      <c r="S213" s="87"/>
      <c r="T213" s="71"/>
      <c r="U213" s="89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</row>
    <row r="214" spans="1:41" ht="12.75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87"/>
      <c r="Q214" s="87"/>
      <c r="R214" s="87"/>
      <c r="S214" s="87"/>
      <c r="T214" s="71"/>
      <c r="U214" s="89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</row>
    <row r="215" spans="1:41" ht="12.7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87"/>
      <c r="Q215" s="87"/>
      <c r="R215" s="87"/>
      <c r="S215" s="87"/>
      <c r="T215" s="71"/>
      <c r="U215" s="89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</row>
    <row r="216" spans="1:41" ht="12.75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87"/>
      <c r="Q216" s="87"/>
      <c r="R216" s="87"/>
      <c r="S216" s="87"/>
      <c r="T216" s="71"/>
      <c r="U216" s="89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</row>
    <row r="217" spans="1:41" ht="12.75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87"/>
      <c r="Q217" s="87"/>
      <c r="R217" s="87"/>
      <c r="S217" s="87"/>
      <c r="T217" s="71"/>
      <c r="U217" s="89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</row>
    <row r="218" spans="1:41" ht="12.75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87"/>
      <c r="Q218" s="87"/>
      <c r="R218" s="87"/>
      <c r="S218" s="87"/>
      <c r="T218" s="71"/>
      <c r="U218" s="89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</row>
    <row r="219" spans="1:41" ht="12.75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87"/>
      <c r="Q219" s="87"/>
      <c r="R219" s="87"/>
      <c r="S219" s="87"/>
      <c r="T219" s="71"/>
      <c r="U219" s="89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</row>
    <row r="220" spans="1:41" ht="12.75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87"/>
      <c r="Q220" s="87"/>
      <c r="R220" s="87"/>
      <c r="S220" s="87"/>
      <c r="T220" s="71"/>
      <c r="U220" s="89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</row>
    <row r="221" spans="1:41" ht="12.75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87"/>
      <c r="Q221" s="87"/>
      <c r="R221" s="87"/>
      <c r="S221" s="87"/>
      <c r="T221" s="71"/>
      <c r="U221" s="89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</row>
    <row r="222" spans="1:41" ht="12.75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87"/>
      <c r="Q222" s="87"/>
      <c r="R222" s="87"/>
      <c r="S222" s="87"/>
      <c r="T222" s="71"/>
      <c r="U222" s="89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</row>
    <row r="223" spans="1:41" ht="12.75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87"/>
      <c r="Q223" s="87"/>
      <c r="R223" s="87"/>
      <c r="S223" s="87"/>
      <c r="T223" s="71"/>
      <c r="U223" s="89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</row>
    <row r="224" spans="1:41" ht="12.75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87"/>
      <c r="Q224" s="87"/>
      <c r="R224" s="87"/>
      <c r="S224" s="87"/>
      <c r="T224" s="71"/>
      <c r="U224" s="89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</row>
    <row r="225" spans="1:41" ht="12.7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87"/>
      <c r="Q225" s="87"/>
      <c r="R225" s="87"/>
      <c r="S225" s="87"/>
      <c r="T225" s="71"/>
      <c r="U225" s="89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</row>
    <row r="226" spans="1:41" ht="12.75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87"/>
      <c r="Q226" s="87"/>
      <c r="R226" s="87"/>
      <c r="S226" s="87"/>
      <c r="T226" s="71"/>
      <c r="U226" s="89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</row>
    <row r="227" spans="1:41" ht="12.75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87"/>
      <c r="Q227" s="87"/>
      <c r="R227" s="87"/>
      <c r="S227" s="87"/>
      <c r="T227" s="71"/>
      <c r="U227" s="89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</row>
    <row r="228" spans="1:41" ht="12.75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87"/>
      <c r="Q228" s="87"/>
      <c r="R228" s="87"/>
      <c r="S228" s="87"/>
      <c r="T228" s="71"/>
      <c r="U228" s="89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</row>
    <row r="229" spans="1:41" ht="12.75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87"/>
      <c r="Q229" s="87"/>
      <c r="R229" s="87"/>
      <c r="S229" s="87"/>
      <c r="T229" s="71"/>
      <c r="U229" s="89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</row>
    <row r="230" spans="1:41" ht="12.75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87"/>
      <c r="Q230" s="87"/>
      <c r="R230" s="87"/>
      <c r="S230" s="87"/>
      <c r="T230" s="71"/>
      <c r="U230" s="89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</row>
    <row r="231" spans="1:41" ht="12.75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87"/>
      <c r="Q231" s="87"/>
      <c r="R231" s="87"/>
      <c r="S231" s="87"/>
      <c r="T231" s="71"/>
      <c r="U231" s="89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</row>
    <row r="232" spans="1:41" ht="12.75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87"/>
      <c r="Q232" s="87"/>
      <c r="R232" s="87"/>
      <c r="S232" s="87"/>
      <c r="T232" s="71"/>
      <c r="U232" s="89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</row>
    <row r="233" spans="1:41" ht="12.75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87"/>
      <c r="Q233" s="87"/>
      <c r="R233" s="87"/>
      <c r="S233" s="87"/>
      <c r="T233" s="71"/>
      <c r="U233" s="89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</row>
    <row r="234" spans="1:41" ht="12.75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87"/>
      <c r="Q234" s="87"/>
      <c r="R234" s="87"/>
      <c r="S234" s="87"/>
      <c r="T234" s="71"/>
      <c r="U234" s="89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</row>
    <row r="235" spans="1:41" ht="12.7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87"/>
      <c r="Q235" s="87"/>
      <c r="R235" s="87"/>
      <c r="S235" s="87"/>
      <c r="T235" s="71"/>
      <c r="U235" s="89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</row>
    <row r="236" spans="1:41" ht="12.75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87"/>
      <c r="Q236" s="87"/>
      <c r="R236" s="87"/>
      <c r="S236" s="87"/>
      <c r="T236" s="71"/>
      <c r="U236" s="89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</row>
    <row r="237" spans="1:41" ht="12.75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87"/>
      <c r="Q237" s="87"/>
      <c r="R237" s="87"/>
      <c r="S237" s="87"/>
      <c r="T237" s="71"/>
      <c r="U237" s="89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</row>
    <row r="238" spans="1:41" ht="12.75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87"/>
      <c r="Q238" s="87"/>
      <c r="R238" s="87"/>
      <c r="S238" s="87"/>
      <c r="T238" s="71"/>
      <c r="U238" s="89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</row>
    <row r="239" spans="1:41" ht="12.75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87"/>
      <c r="Q239" s="87"/>
      <c r="R239" s="87"/>
      <c r="S239" s="87"/>
      <c r="T239" s="71"/>
      <c r="U239" s="89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</row>
    <row r="240" spans="1:41" ht="12.75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87"/>
      <c r="Q240" s="87"/>
      <c r="R240" s="87"/>
      <c r="S240" s="87"/>
      <c r="T240" s="71"/>
      <c r="U240" s="89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</row>
    <row r="241" spans="1:41" ht="12.75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87"/>
      <c r="Q241" s="87"/>
      <c r="R241" s="87"/>
      <c r="S241" s="87"/>
      <c r="T241" s="71"/>
      <c r="U241" s="89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</row>
    <row r="242" spans="1:41" ht="12.75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87"/>
      <c r="Q242" s="87"/>
      <c r="R242" s="87"/>
      <c r="S242" s="87"/>
      <c r="T242" s="71"/>
      <c r="U242" s="89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</row>
    <row r="243" spans="1:41" ht="12.75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87"/>
      <c r="Q243" s="87"/>
      <c r="R243" s="87"/>
      <c r="S243" s="87"/>
      <c r="T243" s="71"/>
      <c r="U243" s="89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</row>
    <row r="244" spans="1:41" ht="12.75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87"/>
      <c r="Q244" s="87"/>
      <c r="R244" s="87"/>
      <c r="S244" s="87"/>
      <c r="T244" s="71"/>
      <c r="U244" s="89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</row>
    <row r="245" spans="1:41" ht="12.7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87"/>
      <c r="Q245" s="87"/>
      <c r="R245" s="87"/>
      <c r="S245" s="87"/>
      <c r="T245" s="71"/>
      <c r="U245" s="89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</row>
    <row r="246" spans="1:41" ht="12.75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87"/>
      <c r="Q246" s="87"/>
      <c r="R246" s="87"/>
      <c r="S246" s="87"/>
      <c r="T246" s="71"/>
      <c r="U246" s="89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</row>
    <row r="247" spans="1:41" ht="12.75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87"/>
      <c r="Q247" s="87"/>
      <c r="R247" s="87"/>
      <c r="S247" s="87"/>
      <c r="T247" s="71"/>
      <c r="U247" s="89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</row>
    <row r="248" spans="1:41" ht="12.75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87"/>
      <c r="Q248" s="87"/>
      <c r="R248" s="87"/>
      <c r="S248" s="87"/>
      <c r="T248" s="71"/>
      <c r="U248" s="89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</row>
    <row r="249" spans="1:41" ht="12.75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87"/>
      <c r="Q249" s="87"/>
      <c r="R249" s="87"/>
      <c r="S249" s="87"/>
      <c r="T249" s="71"/>
      <c r="U249" s="89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</row>
    <row r="250" spans="1:41" ht="12.75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87"/>
      <c r="Q250" s="87"/>
      <c r="R250" s="87"/>
      <c r="S250" s="87"/>
      <c r="T250" s="71"/>
      <c r="U250" s="89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</row>
    <row r="251" spans="1:41" ht="12.75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87"/>
      <c r="Q251" s="87"/>
      <c r="R251" s="87"/>
      <c r="S251" s="87"/>
      <c r="T251" s="71"/>
      <c r="U251" s="89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</row>
    <row r="252" spans="1:41" ht="12.75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87"/>
      <c r="Q252" s="87"/>
      <c r="R252" s="87"/>
      <c r="S252" s="87"/>
      <c r="T252" s="71"/>
      <c r="U252" s="89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</row>
    <row r="253" spans="1:41" ht="12.75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87"/>
      <c r="Q253" s="87"/>
      <c r="R253" s="87"/>
      <c r="S253" s="87"/>
      <c r="T253" s="71"/>
      <c r="U253" s="89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</row>
    <row r="254" spans="1:41" ht="12.75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87"/>
      <c r="Q254" s="87"/>
      <c r="R254" s="87"/>
      <c r="S254" s="87"/>
      <c r="T254" s="71"/>
      <c r="U254" s="89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</row>
    <row r="255" spans="1:41" ht="12.7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87"/>
      <c r="Q255" s="87"/>
      <c r="R255" s="87"/>
      <c r="S255" s="87"/>
      <c r="T255" s="71"/>
      <c r="U255" s="89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</row>
    <row r="256" spans="1:41" ht="12.75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87"/>
      <c r="Q256" s="87"/>
      <c r="R256" s="87"/>
      <c r="S256" s="87"/>
      <c r="T256" s="71"/>
      <c r="U256" s="89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</row>
    <row r="257" spans="1:41" ht="12.75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87"/>
      <c r="Q257" s="87"/>
      <c r="R257" s="87"/>
      <c r="S257" s="87"/>
      <c r="T257" s="71"/>
      <c r="U257" s="89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</row>
    <row r="258" spans="1:41" ht="12.75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87"/>
      <c r="Q258" s="87"/>
      <c r="R258" s="87"/>
      <c r="S258" s="87"/>
      <c r="T258" s="71"/>
      <c r="U258" s="89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</row>
    <row r="259" spans="1:41" ht="12.75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87"/>
      <c r="Q259" s="87"/>
      <c r="R259" s="87"/>
      <c r="S259" s="87"/>
      <c r="T259" s="71"/>
      <c r="U259" s="89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</row>
    <row r="260" spans="1:41" ht="12.75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87"/>
      <c r="Q260" s="87"/>
      <c r="R260" s="87"/>
      <c r="S260" s="87"/>
      <c r="T260" s="71"/>
      <c r="U260" s="89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</row>
    <row r="261" spans="1:41" ht="12.75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87"/>
      <c r="Q261" s="87"/>
      <c r="R261" s="87"/>
      <c r="S261" s="87"/>
      <c r="T261" s="71"/>
      <c r="U261" s="89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</row>
    <row r="262" spans="1:41" ht="12.75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87"/>
      <c r="Q262" s="87"/>
      <c r="R262" s="87"/>
      <c r="S262" s="87"/>
      <c r="T262" s="71"/>
      <c r="U262" s="89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</row>
    <row r="263" spans="1:41" ht="12.75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87"/>
      <c r="Q263" s="87"/>
      <c r="R263" s="87"/>
      <c r="S263" s="87"/>
      <c r="T263" s="71"/>
      <c r="U263" s="89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</row>
    <row r="264" spans="1:41" ht="12.75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87"/>
      <c r="Q264" s="87"/>
      <c r="R264" s="87"/>
      <c r="S264" s="87"/>
      <c r="T264" s="71"/>
      <c r="U264" s="89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</row>
    <row r="265" spans="1:41" ht="12.7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87"/>
      <c r="Q265" s="87"/>
      <c r="R265" s="87"/>
      <c r="S265" s="87"/>
      <c r="T265" s="71"/>
      <c r="U265" s="89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</row>
    <row r="266" spans="1:41" ht="12.75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87"/>
      <c r="Q266" s="87"/>
      <c r="R266" s="87"/>
      <c r="S266" s="87"/>
      <c r="T266" s="71"/>
      <c r="U266" s="89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</row>
    <row r="267" spans="1:41" ht="12.75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87"/>
      <c r="Q267" s="87"/>
      <c r="R267" s="87"/>
      <c r="S267" s="87"/>
      <c r="T267" s="71"/>
      <c r="U267" s="89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</row>
    <row r="268" spans="1:41" ht="12.75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87"/>
      <c r="Q268" s="87"/>
      <c r="R268" s="87"/>
      <c r="S268" s="87"/>
      <c r="T268" s="71"/>
      <c r="U268" s="89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</row>
    <row r="269" spans="1:41" ht="12.75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87"/>
      <c r="Q269" s="87"/>
      <c r="R269" s="87"/>
      <c r="S269" s="87"/>
      <c r="T269" s="71"/>
      <c r="U269" s="89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</row>
    <row r="270" spans="1:41" ht="12.75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87"/>
      <c r="Q270" s="87"/>
      <c r="R270" s="87"/>
      <c r="S270" s="87"/>
      <c r="T270" s="71"/>
      <c r="U270" s="89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</row>
    <row r="271" spans="1:41" ht="12.75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87"/>
      <c r="Q271" s="87"/>
      <c r="R271" s="87"/>
      <c r="S271" s="87"/>
      <c r="T271" s="71"/>
      <c r="U271" s="89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</row>
    <row r="272" spans="1:41" ht="12.75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87"/>
      <c r="Q272" s="87"/>
      <c r="R272" s="87"/>
      <c r="S272" s="87"/>
      <c r="T272" s="71"/>
      <c r="U272" s="89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</row>
    <row r="273" spans="1:41" ht="12.75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87"/>
      <c r="Q273" s="87"/>
      <c r="R273" s="87"/>
      <c r="S273" s="87"/>
      <c r="T273" s="71"/>
      <c r="U273" s="89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</row>
    <row r="274" spans="1:41" ht="12.75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87"/>
      <c r="Q274" s="87"/>
      <c r="R274" s="87"/>
      <c r="S274" s="87"/>
      <c r="T274" s="71"/>
      <c r="U274" s="89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</row>
    <row r="275" spans="1:41" ht="12.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87"/>
      <c r="Q275" s="87"/>
      <c r="R275" s="87"/>
      <c r="S275" s="87"/>
      <c r="T275" s="71"/>
      <c r="U275" s="89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</row>
    <row r="276" spans="1:41" ht="12.75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87"/>
      <c r="Q276" s="87"/>
      <c r="R276" s="87"/>
      <c r="S276" s="87"/>
      <c r="T276" s="71"/>
      <c r="U276" s="89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</row>
    <row r="277" spans="1:41" ht="12.75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87"/>
      <c r="Q277" s="87"/>
      <c r="R277" s="87"/>
      <c r="S277" s="87"/>
      <c r="T277" s="71"/>
      <c r="U277" s="89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</row>
    <row r="278" spans="1:41" ht="12.75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87"/>
      <c r="Q278" s="87"/>
      <c r="R278" s="87"/>
      <c r="S278" s="87"/>
      <c r="T278" s="71"/>
      <c r="U278" s="89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</row>
    <row r="279" spans="1:41" ht="12.75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87"/>
      <c r="Q279" s="87"/>
      <c r="R279" s="87"/>
      <c r="S279" s="87"/>
      <c r="T279" s="71"/>
      <c r="U279" s="89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</row>
    <row r="280" spans="1:41" ht="12.75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87"/>
      <c r="Q280" s="87"/>
      <c r="R280" s="87"/>
      <c r="S280" s="87"/>
      <c r="T280" s="71"/>
      <c r="U280" s="89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</row>
    <row r="281" spans="1:41" ht="12.75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87"/>
      <c r="Q281" s="87"/>
      <c r="R281" s="87"/>
      <c r="S281" s="87"/>
      <c r="T281" s="71"/>
      <c r="U281" s="89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</row>
    <row r="282" spans="1:41" ht="12.75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87"/>
      <c r="Q282" s="87"/>
      <c r="R282" s="87"/>
      <c r="S282" s="87"/>
      <c r="T282" s="71"/>
      <c r="U282" s="89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</row>
    <row r="283" spans="1:41" ht="12.75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87"/>
      <c r="Q283" s="87"/>
      <c r="R283" s="87"/>
      <c r="S283" s="87"/>
      <c r="T283" s="71"/>
      <c r="U283" s="89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</row>
    <row r="284" spans="1:41" ht="12.75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87"/>
      <c r="Q284" s="87"/>
      <c r="R284" s="87"/>
      <c r="S284" s="87"/>
      <c r="T284" s="71"/>
      <c r="U284" s="89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</row>
    <row r="285" spans="1:41" ht="12.7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87"/>
      <c r="Q285" s="87"/>
      <c r="R285" s="87"/>
      <c r="S285" s="87"/>
      <c r="T285" s="71"/>
      <c r="U285" s="89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</row>
    <row r="286" spans="1:41" ht="12.75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87"/>
      <c r="Q286" s="87"/>
      <c r="R286" s="87"/>
      <c r="S286" s="87"/>
      <c r="T286" s="71"/>
      <c r="U286" s="89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</row>
    <row r="287" spans="1:41" ht="12.75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87"/>
      <c r="Q287" s="87"/>
      <c r="R287" s="87"/>
      <c r="S287" s="87"/>
      <c r="T287" s="71"/>
      <c r="U287" s="89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</row>
    <row r="288" spans="1:41" ht="12.75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87"/>
      <c r="Q288" s="87"/>
      <c r="R288" s="87"/>
      <c r="S288" s="87"/>
      <c r="T288" s="71"/>
      <c r="U288" s="89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</row>
    <row r="289" spans="1:41" ht="12.75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87"/>
      <c r="Q289" s="87"/>
      <c r="R289" s="87"/>
      <c r="S289" s="87"/>
      <c r="T289" s="71"/>
      <c r="U289" s="89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</row>
    <row r="290" spans="1:41" ht="12.75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87"/>
      <c r="Q290" s="87"/>
      <c r="R290" s="87"/>
      <c r="S290" s="87"/>
      <c r="T290" s="71"/>
      <c r="U290" s="89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</row>
    <row r="291" spans="1:41" ht="12.75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87"/>
      <c r="Q291" s="87"/>
      <c r="R291" s="87"/>
      <c r="S291" s="87"/>
      <c r="T291" s="71"/>
      <c r="U291" s="89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</row>
    <row r="292" spans="1:41" ht="12.75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87"/>
      <c r="Q292" s="87"/>
      <c r="R292" s="87"/>
      <c r="S292" s="87"/>
      <c r="T292" s="71"/>
      <c r="U292" s="89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</row>
    <row r="293" spans="1:41" ht="12.75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87"/>
      <c r="Q293" s="87"/>
      <c r="R293" s="87"/>
      <c r="S293" s="87"/>
      <c r="T293" s="71"/>
      <c r="U293" s="89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</row>
    <row r="294" spans="1:41" ht="12.75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87"/>
      <c r="Q294" s="87"/>
      <c r="R294" s="87"/>
      <c r="S294" s="87"/>
      <c r="T294" s="71"/>
      <c r="U294" s="89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</row>
    <row r="295" spans="1:41" ht="12.75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87"/>
      <c r="Q295" s="87"/>
      <c r="R295" s="87"/>
      <c r="S295" s="87"/>
      <c r="T295" s="71"/>
      <c r="U295" s="89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</row>
    <row r="296" spans="1:41" ht="12.75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87"/>
      <c r="Q296" s="87"/>
      <c r="R296" s="87"/>
      <c r="S296" s="87"/>
      <c r="T296" s="71"/>
      <c r="U296" s="89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</row>
    <row r="297" spans="1:41" ht="12.75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87"/>
      <c r="Q297" s="87"/>
      <c r="R297" s="87"/>
      <c r="S297" s="87"/>
      <c r="T297" s="71"/>
      <c r="U297" s="89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</row>
    <row r="298" spans="1:41" ht="12.75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87"/>
      <c r="Q298" s="87"/>
      <c r="R298" s="87"/>
      <c r="S298" s="87"/>
      <c r="T298" s="71"/>
      <c r="U298" s="89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</row>
    <row r="299" spans="1:41" ht="12.75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87"/>
      <c r="Q299" s="87"/>
      <c r="R299" s="87"/>
      <c r="S299" s="87"/>
      <c r="T299" s="71"/>
      <c r="U299" s="89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</row>
    <row r="300" spans="1:41" ht="12.75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87"/>
      <c r="Q300" s="87"/>
      <c r="R300" s="87"/>
      <c r="S300" s="87"/>
      <c r="T300" s="71"/>
      <c r="U300" s="89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</row>
    <row r="301" spans="1:41" ht="12.75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87"/>
      <c r="Q301" s="87"/>
      <c r="R301" s="87"/>
      <c r="S301" s="87"/>
      <c r="T301" s="71"/>
      <c r="U301" s="89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</row>
    <row r="302" spans="1:41" ht="12.75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87"/>
      <c r="Q302" s="87"/>
      <c r="R302" s="87"/>
      <c r="S302" s="87"/>
      <c r="T302" s="71"/>
      <c r="U302" s="89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</row>
    <row r="303" spans="1:41" ht="12.75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87"/>
      <c r="Q303" s="87"/>
      <c r="R303" s="87"/>
      <c r="S303" s="87"/>
      <c r="T303" s="71"/>
      <c r="U303" s="89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</row>
    <row r="304" spans="1:41" ht="12.75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87"/>
      <c r="Q304" s="87"/>
      <c r="R304" s="87"/>
      <c r="S304" s="87"/>
      <c r="T304" s="71"/>
      <c r="U304" s="89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</row>
    <row r="305" spans="1:41" ht="12.75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87"/>
      <c r="Q305" s="87"/>
      <c r="R305" s="87"/>
      <c r="S305" s="87"/>
      <c r="T305" s="71"/>
      <c r="U305" s="89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</row>
    <row r="306" spans="1:41" ht="12.75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87"/>
      <c r="Q306" s="87"/>
      <c r="R306" s="87"/>
      <c r="S306" s="87"/>
      <c r="T306" s="71"/>
      <c r="U306" s="89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</row>
    <row r="307" spans="1:41" ht="12.75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87"/>
      <c r="Q307" s="87"/>
      <c r="R307" s="87"/>
      <c r="S307" s="87"/>
      <c r="T307" s="71"/>
      <c r="U307" s="89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</row>
    <row r="308" spans="1:41" ht="12.75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87"/>
      <c r="Q308" s="87"/>
      <c r="R308" s="87"/>
      <c r="S308" s="87"/>
      <c r="T308" s="71"/>
      <c r="U308" s="89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</row>
    <row r="309" spans="1:41" ht="12.75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87"/>
      <c r="Q309" s="87"/>
      <c r="R309" s="87"/>
      <c r="S309" s="87"/>
      <c r="T309" s="71"/>
      <c r="U309" s="89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</row>
    <row r="310" spans="1:41" ht="12.75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87"/>
      <c r="Q310" s="87"/>
      <c r="R310" s="87"/>
      <c r="S310" s="87"/>
      <c r="T310" s="71"/>
      <c r="U310" s="89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</row>
    <row r="311" spans="1:41" ht="12.75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87"/>
      <c r="Q311" s="87"/>
      <c r="R311" s="87"/>
      <c r="S311" s="87"/>
      <c r="T311" s="71"/>
      <c r="U311" s="89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</row>
    <row r="312" spans="1:41" ht="12.75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87"/>
      <c r="Q312" s="87"/>
      <c r="R312" s="87"/>
      <c r="S312" s="87"/>
      <c r="T312" s="71"/>
      <c r="U312" s="89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</row>
    <row r="313" spans="1:41" ht="12.75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87"/>
      <c r="Q313" s="87"/>
      <c r="R313" s="87"/>
      <c r="S313" s="87"/>
      <c r="T313" s="71"/>
      <c r="U313" s="89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</row>
    <row r="314" spans="1:41" ht="12.75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87"/>
      <c r="Q314" s="87"/>
      <c r="R314" s="87"/>
      <c r="S314" s="87"/>
      <c r="T314" s="71"/>
      <c r="U314" s="89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</row>
    <row r="315" spans="1:41" ht="12.75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87"/>
      <c r="Q315" s="87"/>
      <c r="R315" s="87"/>
      <c r="S315" s="87"/>
      <c r="T315" s="71"/>
      <c r="U315" s="89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</row>
    <row r="316" spans="1:41" ht="12.75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87"/>
      <c r="Q316" s="87"/>
      <c r="R316" s="87"/>
      <c r="S316" s="87"/>
      <c r="T316" s="71"/>
      <c r="U316" s="89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</row>
    <row r="317" spans="1:41" ht="12.75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87"/>
      <c r="Q317" s="87"/>
      <c r="R317" s="87"/>
      <c r="S317" s="87"/>
      <c r="T317" s="71"/>
      <c r="U317" s="89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</row>
    <row r="318" spans="1:41" ht="12.75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87"/>
      <c r="Q318" s="87"/>
      <c r="R318" s="87"/>
      <c r="S318" s="87"/>
      <c r="T318" s="71"/>
      <c r="U318" s="89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</row>
    <row r="319" spans="1:41" ht="12.75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87"/>
      <c r="Q319" s="87"/>
      <c r="R319" s="87"/>
      <c r="S319" s="87"/>
      <c r="T319" s="71"/>
      <c r="U319" s="89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</row>
    <row r="320" spans="1:41" ht="12.75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87"/>
      <c r="Q320" s="87"/>
      <c r="R320" s="87"/>
      <c r="S320" s="87"/>
      <c r="T320" s="71"/>
      <c r="U320" s="89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</row>
    <row r="321" spans="1:41" ht="12.75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87"/>
      <c r="Q321" s="87"/>
      <c r="R321" s="87"/>
      <c r="S321" s="87"/>
      <c r="T321" s="71"/>
      <c r="U321" s="89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</row>
    <row r="322" spans="1:41" ht="12.75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87"/>
      <c r="Q322" s="87"/>
      <c r="R322" s="87"/>
      <c r="S322" s="87"/>
      <c r="T322" s="71"/>
      <c r="U322" s="89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</row>
    <row r="323" spans="1:41" ht="12.75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87"/>
      <c r="Q323" s="87"/>
      <c r="R323" s="87"/>
      <c r="S323" s="87"/>
      <c r="T323" s="71"/>
      <c r="U323" s="89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</row>
    <row r="324" spans="1:41" ht="12.75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87"/>
      <c r="Q324" s="87"/>
      <c r="R324" s="87"/>
      <c r="S324" s="87"/>
      <c r="T324" s="71"/>
      <c r="U324" s="89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</row>
    <row r="325" spans="1:41" ht="12.75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87"/>
      <c r="Q325" s="87"/>
      <c r="R325" s="87"/>
      <c r="S325" s="87"/>
      <c r="T325" s="71"/>
      <c r="U325" s="89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</row>
    <row r="326" spans="1:41" ht="12.75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87"/>
      <c r="Q326" s="87"/>
      <c r="R326" s="87"/>
      <c r="S326" s="87"/>
      <c r="T326" s="71"/>
      <c r="U326" s="89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</row>
    <row r="327" spans="1:41" ht="12.75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87"/>
      <c r="Q327" s="87"/>
      <c r="R327" s="87"/>
      <c r="S327" s="87"/>
      <c r="T327" s="71"/>
      <c r="U327" s="89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</row>
    <row r="328" spans="1:41" ht="12.75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87"/>
      <c r="Q328" s="87"/>
      <c r="R328" s="87"/>
      <c r="S328" s="87"/>
      <c r="T328" s="71"/>
      <c r="U328" s="89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</row>
    <row r="329" spans="1:41" ht="12.75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87"/>
      <c r="Q329" s="87"/>
      <c r="R329" s="87"/>
      <c r="S329" s="87"/>
      <c r="T329" s="71"/>
      <c r="U329" s="89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</row>
    <row r="330" spans="1:41" ht="12.75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87"/>
      <c r="Q330" s="87"/>
      <c r="R330" s="87"/>
      <c r="S330" s="87"/>
      <c r="T330" s="71"/>
      <c r="U330" s="89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</row>
    <row r="331" spans="1:41" ht="12.75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87"/>
      <c r="Q331" s="87"/>
      <c r="R331" s="87"/>
      <c r="S331" s="87"/>
      <c r="T331" s="71"/>
      <c r="U331" s="89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</row>
    <row r="332" spans="1:41" ht="12.75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87"/>
      <c r="Q332" s="87"/>
      <c r="R332" s="87"/>
      <c r="S332" s="87"/>
      <c r="T332" s="71"/>
      <c r="U332" s="89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</row>
    <row r="333" spans="1:41" ht="12.75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87"/>
      <c r="Q333" s="87"/>
      <c r="R333" s="87"/>
      <c r="S333" s="87"/>
      <c r="T333" s="71"/>
      <c r="U333" s="89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</row>
    <row r="334" spans="1:41" ht="12.75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87"/>
      <c r="Q334" s="87"/>
      <c r="R334" s="87"/>
      <c r="S334" s="87"/>
      <c r="T334" s="71"/>
      <c r="U334" s="89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</row>
    <row r="335" spans="1:41" ht="12.75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87"/>
      <c r="Q335" s="87"/>
      <c r="R335" s="87"/>
      <c r="S335" s="87"/>
      <c r="T335" s="71"/>
      <c r="U335" s="89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</row>
    <row r="336" spans="1:41" ht="12.75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87"/>
      <c r="Q336" s="87"/>
      <c r="R336" s="87"/>
      <c r="S336" s="87"/>
      <c r="T336" s="71"/>
      <c r="U336" s="89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</row>
    <row r="337" spans="1:41" ht="12.75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87"/>
      <c r="Q337" s="87"/>
      <c r="R337" s="87"/>
      <c r="S337" s="87"/>
      <c r="T337" s="71"/>
      <c r="U337" s="89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</row>
    <row r="338" spans="1:41" ht="12.75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87"/>
      <c r="Q338" s="87"/>
      <c r="R338" s="87"/>
      <c r="S338" s="87"/>
      <c r="T338" s="71"/>
      <c r="U338" s="89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</row>
    <row r="339" spans="1:41" ht="12.75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87"/>
      <c r="Q339" s="87"/>
      <c r="R339" s="87"/>
      <c r="S339" s="87"/>
      <c r="T339" s="71"/>
      <c r="U339" s="89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</row>
    <row r="340" spans="1:41" ht="12.75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87"/>
      <c r="Q340" s="87"/>
      <c r="R340" s="87"/>
      <c r="S340" s="87"/>
      <c r="T340" s="71"/>
      <c r="U340" s="89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</row>
    <row r="341" spans="1:41" ht="12.75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87"/>
      <c r="Q341" s="87"/>
      <c r="R341" s="87"/>
      <c r="S341" s="87"/>
      <c r="T341" s="71"/>
      <c r="U341" s="89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</row>
    <row r="342" spans="1:41" ht="12.75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87"/>
      <c r="Q342" s="87"/>
      <c r="R342" s="87"/>
      <c r="S342" s="87"/>
      <c r="T342" s="71"/>
      <c r="U342" s="89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</row>
    <row r="343" spans="1:41" ht="12.75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87"/>
      <c r="Q343" s="87"/>
      <c r="R343" s="87"/>
      <c r="S343" s="87"/>
      <c r="T343" s="71"/>
      <c r="U343" s="89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</row>
    <row r="344" spans="1:41" ht="12.75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87"/>
      <c r="Q344" s="87"/>
      <c r="R344" s="87"/>
      <c r="S344" s="87"/>
      <c r="T344" s="71"/>
      <c r="U344" s="89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</row>
    <row r="345" spans="1:41" ht="12.75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87"/>
      <c r="Q345" s="87"/>
      <c r="R345" s="87"/>
      <c r="S345" s="87"/>
      <c r="T345" s="71"/>
      <c r="U345" s="89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</row>
    <row r="346" spans="1:41" ht="12.75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87"/>
      <c r="Q346" s="87"/>
      <c r="R346" s="87"/>
      <c r="S346" s="87"/>
      <c r="T346" s="71"/>
      <c r="U346" s="89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</row>
    <row r="347" spans="1:41" ht="12.75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87"/>
      <c r="Q347" s="87"/>
      <c r="R347" s="87"/>
      <c r="S347" s="87"/>
      <c r="T347" s="71"/>
      <c r="U347" s="89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</row>
    <row r="348" spans="1:41" ht="12.75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87"/>
      <c r="Q348" s="87"/>
      <c r="R348" s="87"/>
      <c r="S348" s="87"/>
      <c r="T348" s="71"/>
      <c r="U348" s="89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</row>
    <row r="349" spans="1:41" ht="12.75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87"/>
      <c r="Q349" s="87"/>
      <c r="R349" s="87"/>
      <c r="S349" s="87"/>
      <c r="T349" s="71"/>
      <c r="U349" s="89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</row>
    <row r="350" spans="1:41" ht="12.75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87"/>
      <c r="Q350" s="87"/>
      <c r="R350" s="87"/>
      <c r="S350" s="87"/>
      <c r="T350" s="71"/>
      <c r="U350" s="89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</row>
    <row r="351" spans="1:41" ht="12.75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87"/>
      <c r="Q351" s="87"/>
      <c r="R351" s="87"/>
      <c r="S351" s="87"/>
      <c r="T351" s="71"/>
      <c r="U351" s="89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</row>
    <row r="352" spans="1:41" ht="12.75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87"/>
      <c r="Q352" s="87"/>
      <c r="R352" s="87"/>
      <c r="S352" s="87"/>
      <c r="T352" s="71"/>
      <c r="U352" s="89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</row>
    <row r="353" spans="1:41" ht="12.75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87"/>
      <c r="Q353" s="87"/>
      <c r="R353" s="87"/>
      <c r="S353" s="87"/>
      <c r="T353" s="71"/>
      <c r="U353" s="89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</row>
    <row r="354" spans="1:41" ht="12.75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87"/>
      <c r="Q354" s="87"/>
      <c r="R354" s="87"/>
      <c r="S354" s="87"/>
      <c r="T354" s="71"/>
      <c r="U354" s="89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</row>
    <row r="355" spans="1:41" ht="12.75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87"/>
      <c r="Q355" s="87"/>
      <c r="R355" s="87"/>
      <c r="S355" s="87"/>
      <c r="T355" s="71"/>
      <c r="U355" s="89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</row>
    <row r="356" spans="1:41" ht="12.75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87"/>
      <c r="Q356" s="87"/>
      <c r="R356" s="87"/>
      <c r="S356" s="87"/>
      <c r="T356" s="71"/>
      <c r="U356" s="89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</row>
    <row r="357" spans="1:41" ht="12.75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87"/>
      <c r="Q357" s="87"/>
      <c r="R357" s="87"/>
      <c r="S357" s="87"/>
      <c r="T357" s="71"/>
      <c r="U357" s="89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</row>
    <row r="358" spans="1:41" ht="12.75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87"/>
      <c r="Q358" s="87"/>
      <c r="R358" s="87"/>
      <c r="S358" s="87"/>
      <c r="T358" s="71"/>
      <c r="U358" s="89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</row>
    <row r="359" spans="1:41" ht="12.75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87"/>
      <c r="Q359" s="87"/>
      <c r="R359" s="87"/>
      <c r="S359" s="87"/>
      <c r="T359" s="71"/>
      <c r="U359" s="89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</row>
    <row r="360" spans="1:41" ht="12.75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87"/>
      <c r="Q360" s="87"/>
      <c r="R360" s="87"/>
      <c r="S360" s="87"/>
      <c r="T360" s="71"/>
      <c r="U360" s="89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</row>
    <row r="361" spans="1:41" ht="12.75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87"/>
      <c r="Q361" s="87"/>
      <c r="R361" s="87"/>
      <c r="S361" s="87"/>
      <c r="T361" s="71"/>
      <c r="U361" s="89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</row>
    <row r="362" spans="1:41" ht="12.75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87"/>
      <c r="Q362" s="87"/>
      <c r="R362" s="87"/>
      <c r="S362" s="87"/>
      <c r="T362" s="71"/>
      <c r="U362" s="89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</row>
    <row r="363" spans="1:41" ht="12.75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87"/>
      <c r="Q363" s="87"/>
      <c r="R363" s="87"/>
      <c r="S363" s="87"/>
      <c r="T363" s="71"/>
      <c r="U363" s="89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</row>
    <row r="364" spans="1:41" ht="12.75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87"/>
      <c r="Q364" s="87"/>
      <c r="R364" s="87"/>
      <c r="S364" s="87"/>
      <c r="T364" s="71"/>
      <c r="U364" s="89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</row>
    <row r="365" spans="1:41" ht="12.75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87"/>
      <c r="Q365" s="87"/>
      <c r="R365" s="87"/>
      <c r="S365" s="87"/>
      <c r="T365" s="71"/>
      <c r="U365" s="89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</row>
    <row r="366" spans="1:41" ht="12.75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87"/>
      <c r="Q366" s="87"/>
      <c r="R366" s="87"/>
      <c r="S366" s="87"/>
      <c r="T366" s="71"/>
      <c r="U366" s="89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</row>
    <row r="367" spans="1:41" ht="12.75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87"/>
      <c r="Q367" s="87"/>
      <c r="R367" s="87"/>
      <c r="S367" s="87"/>
      <c r="T367" s="71"/>
      <c r="U367" s="89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</row>
    <row r="368" spans="1:41" ht="12.75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87"/>
      <c r="Q368" s="87"/>
      <c r="R368" s="87"/>
      <c r="S368" s="87"/>
      <c r="T368" s="71"/>
      <c r="U368" s="89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</row>
    <row r="369" spans="1:41" ht="12.75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87"/>
      <c r="Q369" s="87"/>
      <c r="R369" s="87"/>
      <c r="S369" s="87"/>
      <c r="T369" s="71"/>
      <c r="U369" s="89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</row>
    <row r="370" spans="1:41" ht="12.75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87"/>
      <c r="Q370" s="87"/>
      <c r="R370" s="87"/>
      <c r="S370" s="87"/>
      <c r="T370" s="71"/>
      <c r="U370" s="89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</row>
    <row r="371" spans="1:41" ht="12.75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87"/>
      <c r="Q371" s="87"/>
      <c r="R371" s="87"/>
      <c r="S371" s="87"/>
      <c r="T371" s="71"/>
      <c r="U371" s="89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</row>
    <row r="372" spans="1:41" ht="12.75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87"/>
      <c r="Q372" s="87"/>
      <c r="R372" s="87"/>
      <c r="S372" s="87"/>
      <c r="T372" s="71"/>
      <c r="U372" s="89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</row>
    <row r="373" spans="1:41" ht="12.75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87"/>
      <c r="Q373" s="87"/>
      <c r="R373" s="87"/>
      <c r="S373" s="87"/>
      <c r="T373" s="71"/>
      <c r="U373" s="89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</row>
    <row r="374" spans="1:41" ht="12.75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87"/>
      <c r="Q374" s="87"/>
      <c r="R374" s="87"/>
      <c r="S374" s="87"/>
      <c r="T374" s="71"/>
      <c r="U374" s="89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</row>
    <row r="375" spans="1:41" ht="12.75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87"/>
      <c r="Q375" s="87"/>
      <c r="R375" s="87"/>
      <c r="S375" s="87"/>
      <c r="T375" s="71"/>
      <c r="U375" s="89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</row>
    <row r="376" spans="1:41" ht="12.75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87"/>
      <c r="Q376" s="87"/>
      <c r="R376" s="87"/>
      <c r="S376" s="87"/>
      <c r="T376" s="71"/>
      <c r="U376" s="89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</row>
    <row r="377" spans="1:41" ht="12.75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87"/>
      <c r="Q377" s="87"/>
      <c r="R377" s="87"/>
      <c r="S377" s="87"/>
      <c r="T377" s="71"/>
      <c r="U377" s="89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</row>
    <row r="378" spans="1:41" ht="12.75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87"/>
      <c r="Q378" s="87"/>
      <c r="R378" s="87"/>
      <c r="S378" s="87"/>
      <c r="T378" s="71"/>
      <c r="U378" s="89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</row>
    <row r="379" spans="1:41" ht="12.75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87"/>
      <c r="Q379" s="87"/>
      <c r="R379" s="87"/>
      <c r="S379" s="87"/>
      <c r="T379" s="71"/>
      <c r="U379" s="89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</row>
    <row r="380" spans="1:41" ht="12.75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87"/>
      <c r="Q380" s="87"/>
      <c r="R380" s="87"/>
      <c r="S380" s="87"/>
      <c r="T380" s="71"/>
      <c r="U380" s="89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</row>
    <row r="381" spans="1:41" ht="12.75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87"/>
      <c r="Q381" s="87"/>
      <c r="R381" s="87"/>
      <c r="S381" s="87"/>
      <c r="T381" s="71"/>
      <c r="U381" s="89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</row>
    <row r="382" spans="1:41" ht="12.75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87"/>
      <c r="Q382" s="87"/>
      <c r="R382" s="87"/>
      <c r="S382" s="87"/>
      <c r="T382" s="71"/>
      <c r="U382" s="89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</row>
    <row r="383" spans="1:41" ht="12.75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87"/>
      <c r="Q383" s="87"/>
      <c r="R383" s="87"/>
      <c r="S383" s="87"/>
      <c r="T383" s="71"/>
      <c r="U383" s="89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</row>
    <row r="384" spans="1:41" ht="12.75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87"/>
      <c r="Q384" s="87"/>
      <c r="R384" s="87"/>
      <c r="S384" s="87"/>
      <c r="T384" s="71"/>
      <c r="U384" s="89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</row>
    <row r="385" spans="1:41" ht="12.75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87"/>
      <c r="Q385" s="87"/>
      <c r="R385" s="87"/>
      <c r="S385" s="87"/>
      <c r="T385" s="71"/>
      <c r="U385" s="89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</row>
    <row r="386" spans="1:41" ht="12.75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87"/>
      <c r="Q386" s="87"/>
      <c r="R386" s="87"/>
      <c r="S386" s="87"/>
      <c r="T386" s="71"/>
      <c r="U386" s="89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</row>
    <row r="387" spans="1:41" ht="12.75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87"/>
      <c r="Q387" s="87"/>
      <c r="R387" s="87"/>
      <c r="S387" s="87"/>
      <c r="T387" s="71"/>
      <c r="U387" s="89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</row>
    <row r="388" spans="1:41" ht="12.75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87"/>
      <c r="Q388" s="87"/>
      <c r="R388" s="87"/>
      <c r="S388" s="87"/>
      <c r="T388" s="71"/>
      <c r="U388" s="89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</row>
    <row r="389" spans="1:41" ht="12.75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87"/>
      <c r="Q389" s="87"/>
      <c r="R389" s="87"/>
      <c r="S389" s="87"/>
      <c r="T389" s="71"/>
      <c r="U389" s="89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</row>
    <row r="390" spans="1:41" ht="12.75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87"/>
      <c r="Q390" s="87"/>
      <c r="R390" s="87"/>
      <c r="S390" s="87"/>
      <c r="T390" s="71"/>
      <c r="U390" s="89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</row>
    <row r="391" spans="1:41" ht="12.75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87"/>
      <c r="Q391" s="87"/>
      <c r="R391" s="87"/>
      <c r="S391" s="87"/>
      <c r="T391" s="71"/>
      <c r="U391" s="89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</row>
    <row r="392" spans="1:41" ht="12.75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87"/>
      <c r="Q392" s="87"/>
      <c r="R392" s="87"/>
      <c r="S392" s="87"/>
      <c r="T392" s="71"/>
      <c r="U392" s="89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</row>
    <row r="393" spans="1:41" ht="12.75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87"/>
      <c r="Q393" s="87"/>
      <c r="R393" s="87"/>
      <c r="S393" s="87"/>
      <c r="T393" s="71"/>
      <c r="U393" s="89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</row>
    <row r="394" spans="1:41" ht="12.75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87"/>
      <c r="Q394" s="87"/>
      <c r="R394" s="87"/>
      <c r="S394" s="87"/>
      <c r="T394" s="71"/>
      <c r="U394" s="89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</row>
    <row r="395" spans="1:41" ht="12.75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87"/>
      <c r="Q395" s="87"/>
      <c r="R395" s="87"/>
      <c r="S395" s="87"/>
      <c r="T395" s="71"/>
      <c r="U395" s="89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</row>
    <row r="396" spans="1:41" ht="12.75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87"/>
      <c r="Q396" s="87"/>
      <c r="R396" s="87"/>
      <c r="S396" s="87"/>
      <c r="T396" s="71"/>
      <c r="U396" s="89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</row>
    <row r="397" spans="1:41" ht="12.75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87"/>
      <c r="Q397" s="87"/>
      <c r="R397" s="87"/>
      <c r="S397" s="87"/>
      <c r="T397" s="71"/>
      <c r="U397" s="89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</row>
    <row r="398" spans="1:41" ht="12.75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87"/>
      <c r="Q398" s="87"/>
      <c r="R398" s="87"/>
      <c r="S398" s="87"/>
      <c r="T398" s="71"/>
      <c r="U398" s="89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</row>
    <row r="399" spans="1:41" ht="12.75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87"/>
      <c r="Q399" s="87"/>
      <c r="R399" s="87"/>
      <c r="S399" s="87"/>
      <c r="T399" s="71"/>
      <c r="U399" s="89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</row>
    <row r="400" spans="1:41" ht="12.75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87"/>
      <c r="Q400" s="87"/>
      <c r="R400" s="87"/>
      <c r="S400" s="87"/>
      <c r="T400" s="71"/>
      <c r="U400" s="89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</row>
    <row r="401" spans="1:41" ht="12.75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87"/>
      <c r="Q401" s="87"/>
      <c r="R401" s="87"/>
      <c r="S401" s="87"/>
      <c r="T401" s="71"/>
      <c r="U401" s="89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</row>
    <row r="402" spans="1:41" ht="12.75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87"/>
      <c r="Q402" s="87"/>
      <c r="R402" s="87"/>
      <c r="S402" s="87"/>
      <c r="T402" s="71"/>
      <c r="U402" s="89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</row>
    <row r="403" spans="1:41" ht="12.75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87"/>
      <c r="Q403" s="87"/>
      <c r="R403" s="87"/>
      <c r="S403" s="87"/>
      <c r="T403" s="71"/>
      <c r="U403" s="89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</row>
    <row r="404" spans="1:41" ht="12.75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87"/>
      <c r="Q404" s="87"/>
      <c r="R404" s="87"/>
      <c r="S404" s="87"/>
      <c r="T404" s="71"/>
      <c r="U404" s="89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</row>
    <row r="405" spans="1:41" ht="12.75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87"/>
      <c r="Q405" s="87"/>
      <c r="R405" s="87"/>
      <c r="S405" s="87"/>
      <c r="T405" s="71"/>
      <c r="U405" s="89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</row>
    <row r="406" spans="1:41" ht="12.75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87"/>
      <c r="Q406" s="87"/>
      <c r="R406" s="87"/>
      <c r="S406" s="87"/>
      <c r="T406" s="71"/>
      <c r="U406" s="89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</row>
    <row r="407" spans="1:41" ht="12.75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87"/>
      <c r="Q407" s="87"/>
      <c r="R407" s="87"/>
      <c r="S407" s="87"/>
      <c r="T407" s="71"/>
      <c r="U407" s="89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</row>
    <row r="408" spans="1:41" ht="12.75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87"/>
      <c r="Q408" s="87"/>
      <c r="R408" s="87"/>
      <c r="S408" s="87"/>
      <c r="T408" s="71"/>
      <c r="U408" s="89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</row>
    <row r="409" spans="1:41" ht="12.75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87"/>
      <c r="Q409" s="87"/>
      <c r="R409" s="87"/>
      <c r="S409" s="87"/>
      <c r="T409" s="71"/>
      <c r="U409" s="89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</row>
    <row r="410" spans="1:41" ht="12.75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87"/>
      <c r="Q410" s="87"/>
      <c r="R410" s="87"/>
      <c r="S410" s="87"/>
      <c r="T410" s="71"/>
      <c r="U410" s="89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</row>
    <row r="411" spans="1:41" ht="12.75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87"/>
      <c r="Q411" s="87"/>
      <c r="R411" s="87"/>
      <c r="S411" s="87"/>
      <c r="T411" s="71"/>
      <c r="U411" s="89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</row>
    <row r="412" spans="1:41" ht="12.75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87"/>
      <c r="Q412" s="87"/>
      <c r="R412" s="87"/>
      <c r="S412" s="87"/>
      <c r="T412" s="71"/>
      <c r="U412" s="89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</row>
    <row r="413" spans="1:41" ht="12.75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87"/>
      <c r="Q413" s="87"/>
      <c r="R413" s="87"/>
      <c r="S413" s="87"/>
      <c r="T413" s="71"/>
      <c r="U413" s="89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</row>
    <row r="414" spans="1:41" ht="12.75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87"/>
      <c r="Q414" s="87"/>
      <c r="R414" s="87"/>
      <c r="S414" s="87"/>
      <c r="T414" s="71"/>
      <c r="U414" s="89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</row>
    <row r="415" spans="1:41" ht="12.75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87"/>
      <c r="Q415" s="87"/>
      <c r="R415" s="87"/>
      <c r="S415" s="87"/>
      <c r="T415" s="71"/>
      <c r="U415" s="89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</row>
    <row r="416" spans="1:41" ht="12.75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87"/>
      <c r="Q416" s="87"/>
      <c r="R416" s="87"/>
      <c r="S416" s="87"/>
      <c r="T416" s="71"/>
      <c r="U416" s="89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</row>
    <row r="417" spans="1:41" ht="12.75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87"/>
      <c r="Q417" s="87"/>
      <c r="R417" s="87"/>
      <c r="S417" s="87"/>
      <c r="T417" s="71"/>
      <c r="U417" s="89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</row>
    <row r="418" spans="1:41" ht="12.75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87"/>
      <c r="Q418" s="87"/>
      <c r="R418" s="87"/>
      <c r="S418" s="87"/>
      <c r="T418" s="71"/>
      <c r="U418" s="89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</row>
    <row r="419" spans="1:41" ht="12.75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87"/>
      <c r="Q419" s="87"/>
      <c r="R419" s="87"/>
      <c r="S419" s="87"/>
      <c r="T419" s="71"/>
      <c r="U419" s="89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</row>
    <row r="420" spans="1:41" ht="12.75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87"/>
      <c r="Q420" s="87"/>
      <c r="R420" s="87"/>
      <c r="S420" s="87"/>
      <c r="T420" s="71"/>
      <c r="U420" s="89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</row>
    <row r="421" spans="1:41" ht="12.75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87"/>
      <c r="Q421" s="87"/>
      <c r="R421" s="87"/>
      <c r="S421" s="87"/>
      <c r="T421" s="71"/>
      <c r="U421" s="89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</row>
    <row r="422" spans="1:41" ht="12.75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87"/>
      <c r="Q422" s="87"/>
      <c r="R422" s="87"/>
      <c r="S422" s="87"/>
      <c r="T422" s="71"/>
      <c r="U422" s="89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</row>
    <row r="423" spans="1:41" ht="12.75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87"/>
      <c r="Q423" s="87"/>
      <c r="R423" s="87"/>
      <c r="S423" s="87"/>
      <c r="T423" s="71"/>
      <c r="U423" s="89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</row>
    <row r="424" spans="1:41" ht="12.75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87"/>
      <c r="Q424" s="87"/>
      <c r="R424" s="87"/>
      <c r="S424" s="87"/>
      <c r="T424" s="71"/>
      <c r="U424" s="89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</row>
    <row r="425" spans="1:41" ht="12.75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87"/>
      <c r="Q425" s="87"/>
      <c r="R425" s="87"/>
      <c r="S425" s="87"/>
      <c r="T425" s="71"/>
      <c r="U425" s="89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</row>
    <row r="426" spans="1:41" ht="12.75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87"/>
      <c r="Q426" s="87"/>
      <c r="R426" s="87"/>
      <c r="S426" s="87"/>
      <c r="T426" s="71"/>
      <c r="U426" s="89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</row>
    <row r="427" spans="1:41" ht="12.75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87"/>
      <c r="Q427" s="87"/>
      <c r="R427" s="87"/>
      <c r="S427" s="87"/>
      <c r="T427" s="71"/>
      <c r="U427" s="89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</row>
    <row r="428" spans="1:41" ht="12.75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87"/>
      <c r="Q428" s="87"/>
      <c r="R428" s="87"/>
      <c r="S428" s="87"/>
      <c r="T428" s="71"/>
      <c r="U428" s="89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</row>
    <row r="429" spans="1:41" ht="12.75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87"/>
      <c r="Q429" s="87"/>
      <c r="R429" s="87"/>
      <c r="S429" s="87"/>
      <c r="T429" s="71"/>
      <c r="U429" s="89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</row>
    <row r="430" spans="1:41" ht="12.75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87"/>
      <c r="Q430" s="87"/>
      <c r="R430" s="87"/>
      <c r="S430" s="87"/>
      <c r="T430" s="71"/>
      <c r="U430" s="89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</row>
    <row r="431" spans="1:41" ht="12.75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87"/>
      <c r="Q431" s="87"/>
      <c r="R431" s="87"/>
      <c r="S431" s="87"/>
      <c r="T431" s="71"/>
      <c r="U431" s="89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</row>
    <row r="432" spans="1:41" ht="12.75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87"/>
      <c r="Q432" s="87"/>
      <c r="R432" s="87"/>
      <c r="S432" s="87"/>
      <c r="T432" s="71"/>
      <c r="U432" s="89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</row>
    <row r="433" spans="1:41" ht="12.75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87"/>
      <c r="Q433" s="87"/>
      <c r="R433" s="87"/>
      <c r="S433" s="87"/>
      <c r="T433" s="71"/>
      <c r="U433" s="89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</row>
    <row r="434" spans="1:41" ht="12.75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87"/>
      <c r="Q434" s="87"/>
      <c r="R434" s="87"/>
      <c r="S434" s="87"/>
      <c r="T434" s="71"/>
      <c r="U434" s="89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</row>
    <row r="435" spans="1:41" ht="12.75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87"/>
      <c r="Q435" s="87"/>
      <c r="R435" s="87"/>
      <c r="S435" s="87"/>
      <c r="T435" s="71"/>
      <c r="U435" s="89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</row>
    <row r="436" spans="1:41" ht="12.75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87"/>
      <c r="Q436" s="87"/>
      <c r="R436" s="87"/>
      <c r="S436" s="87"/>
      <c r="T436" s="71"/>
      <c r="U436" s="89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</row>
    <row r="437" spans="1:41" ht="12.75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87"/>
      <c r="Q437" s="87"/>
      <c r="R437" s="87"/>
      <c r="S437" s="87"/>
      <c r="T437" s="71"/>
      <c r="U437" s="89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</row>
    <row r="438" spans="1:41" ht="12.75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87"/>
      <c r="Q438" s="87"/>
      <c r="R438" s="87"/>
      <c r="S438" s="87"/>
      <c r="T438" s="71"/>
      <c r="U438" s="89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</row>
    <row r="439" spans="1:41" ht="12.75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87"/>
      <c r="Q439" s="87"/>
      <c r="R439" s="87"/>
      <c r="S439" s="87"/>
      <c r="T439" s="71"/>
      <c r="U439" s="89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</row>
    <row r="440" spans="1:41" ht="12.75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87"/>
      <c r="Q440" s="87"/>
      <c r="R440" s="87"/>
      <c r="S440" s="87"/>
      <c r="T440" s="71"/>
      <c r="U440" s="89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</row>
    <row r="441" spans="1:41" ht="12.75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87"/>
      <c r="Q441" s="87"/>
      <c r="R441" s="87"/>
      <c r="S441" s="87"/>
      <c r="T441" s="71"/>
      <c r="U441" s="89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</row>
    <row r="442" spans="1:41" ht="12.75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87"/>
      <c r="Q442" s="87"/>
      <c r="R442" s="87"/>
      <c r="S442" s="87"/>
      <c r="T442" s="71"/>
      <c r="U442" s="89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</row>
    <row r="443" spans="1:41" ht="12.75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87"/>
      <c r="Q443" s="87"/>
      <c r="R443" s="87"/>
      <c r="S443" s="87"/>
      <c r="T443" s="71"/>
      <c r="U443" s="89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</row>
    <row r="444" spans="1:41" ht="12.75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87"/>
      <c r="Q444" s="87"/>
      <c r="R444" s="87"/>
      <c r="S444" s="87"/>
      <c r="T444" s="71"/>
      <c r="U444" s="89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</row>
    <row r="445" spans="1:41" ht="12.75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87"/>
      <c r="Q445" s="87"/>
      <c r="R445" s="87"/>
      <c r="S445" s="87"/>
      <c r="T445" s="71"/>
      <c r="U445" s="89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</row>
    <row r="446" spans="1:41" ht="12.75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87"/>
      <c r="Q446" s="87"/>
      <c r="R446" s="87"/>
      <c r="S446" s="87"/>
      <c r="T446" s="71"/>
      <c r="U446" s="89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</row>
    <row r="447" spans="1:41" ht="12.75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87"/>
      <c r="Q447" s="87"/>
      <c r="R447" s="87"/>
      <c r="S447" s="87"/>
      <c r="T447" s="71"/>
      <c r="U447" s="89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</row>
    <row r="448" spans="1:41" ht="12.75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87"/>
      <c r="Q448" s="87"/>
      <c r="R448" s="87"/>
      <c r="S448" s="87"/>
      <c r="T448" s="71"/>
      <c r="U448" s="89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</row>
    <row r="449" spans="1:41" ht="12.75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87"/>
      <c r="Q449" s="87"/>
      <c r="R449" s="87"/>
      <c r="S449" s="87"/>
      <c r="T449" s="71"/>
      <c r="U449" s="89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</row>
    <row r="450" spans="1:41" ht="12.75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87"/>
      <c r="Q450" s="87"/>
      <c r="R450" s="87"/>
      <c r="S450" s="87"/>
      <c r="T450" s="71"/>
      <c r="U450" s="89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</row>
    <row r="451" spans="1:41" ht="12.75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87"/>
      <c r="Q451" s="87"/>
      <c r="R451" s="87"/>
      <c r="S451" s="87"/>
      <c r="T451" s="71"/>
      <c r="U451" s="89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</row>
    <row r="452" spans="1:41" ht="12.75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87"/>
      <c r="Q452" s="87"/>
      <c r="R452" s="87"/>
      <c r="S452" s="87"/>
      <c r="T452" s="71"/>
      <c r="U452" s="89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</row>
    <row r="453" spans="1:41" ht="12.75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87"/>
      <c r="Q453" s="87"/>
      <c r="R453" s="87"/>
      <c r="S453" s="87"/>
      <c r="T453" s="71"/>
      <c r="U453" s="89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</row>
    <row r="454" spans="1:41" ht="12.75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87"/>
      <c r="Q454" s="87"/>
      <c r="R454" s="87"/>
      <c r="S454" s="87"/>
      <c r="T454" s="71"/>
      <c r="U454" s="89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</row>
    <row r="455" spans="1:41" ht="12.75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87"/>
      <c r="Q455" s="87"/>
      <c r="R455" s="87"/>
      <c r="S455" s="87"/>
      <c r="T455" s="71"/>
      <c r="U455" s="89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</row>
    <row r="456" spans="1:41" ht="12.75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87"/>
      <c r="Q456" s="87"/>
      <c r="R456" s="87"/>
      <c r="S456" s="87"/>
      <c r="T456" s="71"/>
      <c r="U456" s="89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</row>
    <row r="457" spans="1:41" ht="12.75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87"/>
      <c r="Q457" s="87"/>
      <c r="R457" s="87"/>
      <c r="S457" s="87"/>
      <c r="T457" s="71"/>
      <c r="U457" s="89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</row>
    <row r="458" spans="1:41" ht="12.75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87"/>
      <c r="Q458" s="87"/>
      <c r="R458" s="87"/>
      <c r="S458" s="87"/>
      <c r="T458" s="71"/>
      <c r="U458" s="89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</row>
    <row r="459" spans="1:41" ht="12.75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87"/>
      <c r="Q459" s="87"/>
      <c r="R459" s="87"/>
      <c r="S459" s="87"/>
      <c r="T459" s="71"/>
      <c r="U459" s="89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</row>
    <row r="460" spans="1:41" ht="12.75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87"/>
      <c r="Q460" s="87"/>
      <c r="R460" s="87"/>
      <c r="S460" s="87"/>
      <c r="T460" s="71"/>
      <c r="U460" s="89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</row>
    <row r="461" spans="1:41" ht="12.75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87"/>
      <c r="Q461" s="87"/>
      <c r="R461" s="87"/>
      <c r="S461" s="87"/>
      <c r="T461" s="71"/>
      <c r="U461" s="89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</row>
    <row r="462" spans="1:41" ht="12.75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87"/>
      <c r="Q462" s="87"/>
      <c r="R462" s="87"/>
      <c r="S462" s="87"/>
      <c r="T462" s="71"/>
      <c r="U462" s="89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</row>
    <row r="463" spans="1:41" ht="12.75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87"/>
      <c r="Q463" s="87"/>
      <c r="R463" s="87"/>
      <c r="S463" s="87"/>
      <c r="T463" s="71"/>
      <c r="U463" s="89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</row>
    <row r="464" spans="1:41" ht="12.75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87"/>
      <c r="Q464" s="87"/>
      <c r="R464" s="87"/>
      <c r="S464" s="87"/>
      <c r="T464" s="71"/>
      <c r="U464" s="89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</row>
    <row r="465" spans="1:41" ht="12.75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87"/>
      <c r="Q465" s="87"/>
      <c r="R465" s="87"/>
      <c r="S465" s="87"/>
      <c r="T465" s="71"/>
      <c r="U465" s="89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</row>
    <row r="466" spans="1:41" ht="12.75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87"/>
      <c r="Q466" s="87"/>
      <c r="R466" s="87"/>
      <c r="S466" s="87"/>
      <c r="T466" s="71"/>
      <c r="U466" s="89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</row>
    <row r="467" spans="1:41" ht="12.75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87"/>
      <c r="Q467" s="87"/>
      <c r="R467" s="87"/>
      <c r="S467" s="87"/>
      <c r="T467" s="71"/>
      <c r="U467" s="89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</row>
    <row r="468" spans="1:41" ht="12.75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87"/>
      <c r="Q468" s="87"/>
      <c r="R468" s="87"/>
      <c r="S468" s="87"/>
      <c r="T468" s="71"/>
      <c r="U468" s="89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</row>
    <row r="469" spans="1:41" ht="12.75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87"/>
      <c r="Q469" s="87"/>
      <c r="R469" s="87"/>
      <c r="S469" s="87"/>
      <c r="T469" s="71"/>
      <c r="U469" s="89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</row>
    <row r="470" spans="1:41" ht="12.75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87"/>
      <c r="Q470" s="87"/>
      <c r="R470" s="87"/>
      <c r="S470" s="87"/>
      <c r="T470" s="71"/>
      <c r="U470" s="89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</row>
    <row r="471" spans="1:41" ht="12.75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87"/>
      <c r="Q471" s="87"/>
      <c r="R471" s="87"/>
      <c r="S471" s="87"/>
      <c r="T471" s="71"/>
      <c r="U471" s="89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</row>
    <row r="472" spans="1:41" ht="12.75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87"/>
      <c r="Q472" s="87"/>
      <c r="R472" s="87"/>
      <c r="S472" s="87"/>
      <c r="T472" s="71"/>
      <c r="U472" s="89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</row>
    <row r="473" spans="1:41" ht="12.75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87"/>
      <c r="Q473" s="87"/>
      <c r="R473" s="87"/>
      <c r="S473" s="87"/>
      <c r="T473" s="71"/>
      <c r="U473" s="89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</row>
    <row r="474" spans="1:41" ht="12.75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87"/>
      <c r="Q474" s="87"/>
      <c r="R474" s="87"/>
      <c r="S474" s="87"/>
      <c r="T474" s="71"/>
      <c r="U474" s="89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</row>
    <row r="475" spans="1:41" ht="12.75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87"/>
      <c r="Q475" s="87"/>
      <c r="R475" s="87"/>
      <c r="S475" s="87"/>
      <c r="T475" s="71"/>
      <c r="U475" s="89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</row>
    <row r="476" spans="1:41" ht="12.75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87"/>
      <c r="Q476" s="87"/>
      <c r="R476" s="87"/>
      <c r="S476" s="87"/>
      <c r="T476" s="71"/>
      <c r="U476" s="89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</row>
    <row r="477" spans="1:41" ht="12.75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87"/>
      <c r="Q477" s="87"/>
      <c r="R477" s="87"/>
      <c r="S477" s="87"/>
      <c r="T477" s="71"/>
      <c r="U477" s="89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</row>
    <row r="478" spans="1:41" ht="12.75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87"/>
      <c r="Q478" s="87"/>
      <c r="R478" s="87"/>
      <c r="S478" s="87"/>
      <c r="T478" s="71"/>
      <c r="U478" s="89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</row>
    <row r="479" spans="1:41" ht="12.75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87"/>
      <c r="Q479" s="87"/>
      <c r="R479" s="87"/>
      <c r="S479" s="87"/>
      <c r="T479" s="71"/>
      <c r="U479" s="89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</row>
    <row r="480" spans="1:41" ht="12.75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87"/>
      <c r="Q480" s="87"/>
      <c r="R480" s="87"/>
      <c r="S480" s="87"/>
      <c r="T480" s="71"/>
      <c r="U480" s="89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</row>
    <row r="481" spans="1:41" ht="12.75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87"/>
      <c r="Q481" s="87"/>
      <c r="R481" s="87"/>
      <c r="S481" s="87"/>
      <c r="T481" s="71"/>
      <c r="U481" s="89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</row>
    <row r="482" spans="1:41" ht="12.75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87"/>
      <c r="Q482" s="87"/>
      <c r="R482" s="87"/>
      <c r="S482" s="87"/>
      <c r="T482" s="71"/>
      <c r="U482" s="89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</row>
    <row r="483" spans="1:41" ht="12.75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87"/>
      <c r="Q483" s="87"/>
      <c r="R483" s="87"/>
      <c r="S483" s="87"/>
      <c r="T483" s="71"/>
      <c r="U483" s="89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</row>
    <row r="484" spans="1:41" ht="12.75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87"/>
      <c r="Q484" s="87"/>
      <c r="R484" s="87"/>
      <c r="S484" s="87"/>
      <c r="T484" s="71"/>
      <c r="U484" s="89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</row>
    <row r="485" spans="1:41" ht="12.75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87"/>
      <c r="Q485" s="87"/>
      <c r="R485" s="87"/>
      <c r="S485" s="87"/>
      <c r="T485" s="71"/>
      <c r="U485" s="89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</row>
    <row r="486" spans="1:41" ht="12.75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87"/>
      <c r="Q486" s="87"/>
      <c r="R486" s="87"/>
      <c r="S486" s="87"/>
      <c r="T486" s="71"/>
      <c r="U486" s="89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</row>
    <row r="487" spans="1:41" ht="12.75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87"/>
      <c r="Q487" s="87"/>
      <c r="R487" s="87"/>
      <c r="S487" s="87"/>
      <c r="T487" s="71"/>
      <c r="U487" s="89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</row>
    <row r="488" spans="1:41" ht="12.75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87"/>
      <c r="Q488" s="87"/>
      <c r="R488" s="87"/>
      <c r="S488" s="87"/>
      <c r="T488" s="71"/>
      <c r="U488" s="89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</row>
    <row r="489" spans="1:41" ht="12.75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87"/>
      <c r="Q489" s="87"/>
      <c r="R489" s="87"/>
      <c r="S489" s="87"/>
      <c r="T489" s="71"/>
      <c r="U489" s="89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</row>
    <row r="490" spans="1:41" ht="12.75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87"/>
      <c r="Q490" s="87"/>
      <c r="R490" s="87"/>
      <c r="S490" s="87"/>
      <c r="T490" s="71"/>
      <c r="U490" s="89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</row>
    <row r="491" spans="1:41" ht="12.75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87"/>
      <c r="Q491" s="87"/>
      <c r="R491" s="87"/>
      <c r="S491" s="87"/>
      <c r="T491" s="71"/>
      <c r="U491" s="89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</row>
    <row r="492" spans="1:41" ht="12.75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87"/>
      <c r="Q492" s="87"/>
      <c r="R492" s="87"/>
      <c r="S492" s="87"/>
      <c r="T492" s="71"/>
      <c r="U492" s="89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</row>
    <row r="493" spans="1:41" ht="12.75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87"/>
      <c r="Q493" s="87"/>
      <c r="R493" s="87"/>
      <c r="S493" s="87"/>
      <c r="T493" s="71"/>
      <c r="U493" s="89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</row>
    <row r="494" spans="1:41" ht="12.75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87"/>
      <c r="Q494" s="87"/>
      <c r="R494" s="87"/>
      <c r="S494" s="87"/>
      <c r="T494" s="71"/>
      <c r="U494" s="89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</row>
    <row r="495" spans="1:41" ht="12.75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87"/>
      <c r="Q495" s="87"/>
      <c r="R495" s="87"/>
      <c r="S495" s="87"/>
      <c r="T495" s="71"/>
      <c r="U495" s="89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</row>
    <row r="496" spans="1:41" ht="12.75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87"/>
      <c r="Q496" s="87"/>
      <c r="R496" s="87"/>
      <c r="S496" s="87"/>
      <c r="T496" s="71"/>
      <c r="U496" s="89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</row>
    <row r="497" spans="1:41" ht="12.75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87"/>
      <c r="Q497" s="87"/>
      <c r="R497" s="87"/>
      <c r="S497" s="87"/>
      <c r="T497" s="71"/>
      <c r="U497" s="89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</row>
    <row r="498" spans="1:41" ht="12.75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87"/>
      <c r="Q498" s="87"/>
      <c r="R498" s="87"/>
      <c r="S498" s="87"/>
      <c r="T498" s="71"/>
      <c r="U498" s="89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</row>
    <row r="499" spans="1:41" ht="12.75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87"/>
      <c r="Q499" s="87"/>
      <c r="R499" s="87"/>
      <c r="S499" s="87"/>
      <c r="T499" s="71"/>
      <c r="U499" s="89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</row>
    <row r="500" spans="1:41" ht="12.75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87"/>
      <c r="Q500" s="87"/>
      <c r="R500" s="87"/>
      <c r="S500" s="87"/>
      <c r="T500" s="71"/>
      <c r="U500" s="89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</row>
    <row r="501" spans="1:41" ht="12.75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87"/>
      <c r="Q501" s="87"/>
      <c r="R501" s="87"/>
      <c r="S501" s="87"/>
      <c r="T501" s="71"/>
      <c r="U501" s="89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</row>
    <row r="502" spans="1:41" ht="12.75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87"/>
      <c r="Q502" s="87"/>
      <c r="R502" s="87"/>
      <c r="S502" s="87"/>
      <c r="T502" s="71"/>
      <c r="U502" s="89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</row>
    <row r="503" spans="1:41" ht="12.75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87"/>
      <c r="Q503" s="87"/>
      <c r="R503" s="87"/>
      <c r="S503" s="87"/>
      <c r="T503" s="71"/>
      <c r="U503" s="89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</row>
    <row r="504" spans="1:41" ht="12.75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87"/>
      <c r="Q504" s="87"/>
      <c r="R504" s="87"/>
      <c r="S504" s="87"/>
      <c r="T504" s="71"/>
      <c r="U504" s="89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</row>
    <row r="505" spans="1:41" ht="12.75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87"/>
      <c r="Q505" s="87"/>
      <c r="R505" s="87"/>
      <c r="S505" s="87"/>
      <c r="T505" s="71"/>
      <c r="U505" s="89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</row>
    <row r="506" spans="1:41" ht="12.75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87"/>
      <c r="Q506" s="87"/>
      <c r="R506" s="87"/>
      <c r="S506" s="87"/>
      <c r="T506" s="71"/>
      <c r="U506" s="89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</row>
    <row r="507" spans="1:41" ht="12.75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87"/>
      <c r="Q507" s="87"/>
      <c r="R507" s="87"/>
      <c r="S507" s="87"/>
      <c r="T507" s="71"/>
      <c r="U507" s="89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</row>
    <row r="508" spans="1:41" ht="12.75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87"/>
      <c r="Q508" s="87"/>
      <c r="R508" s="87"/>
      <c r="S508" s="87"/>
      <c r="T508" s="71"/>
      <c r="U508" s="89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</row>
    <row r="509" spans="1:41" ht="12.75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87"/>
      <c r="Q509" s="87"/>
      <c r="R509" s="87"/>
      <c r="S509" s="87"/>
      <c r="T509" s="71"/>
      <c r="U509" s="89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</row>
    <row r="510" spans="1:41" ht="12.75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87"/>
      <c r="Q510" s="87"/>
      <c r="R510" s="87"/>
      <c r="S510" s="87"/>
      <c r="T510" s="71"/>
      <c r="U510" s="89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</row>
    <row r="511" spans="1:41" ht="12.75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87"/>
      <c r="Q511" s="87"/>
      <c r="R511" s="87"/>
      <c r="S511" s="87"/>
      <c r="T511" s="71"/>
      <c r="U511" s="89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</row>
    <row r="512" spans="1:41" ht="12.75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87"/>
      <c r="Q512" s="87"/>
      <c r="R512" s="87"/>
      <c r="S512" s="87"/>
      <c r="T512" s="71"/>
      <c r="U512" s="89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</row>
    <row r="513" spans="1:41" ht="12.75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87"/>
      <c r="Q513" s="87"/>
      <c r="R513" s="87"/>
      <c r="S513" s="87"/>
      <c r="T513" s="71"/>
      <c r="U513" s="89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</row>
    <row r="514" spans="1:41" ht="12.75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87"/>
      <c r="Q514" s="87"/>
      <c r="R514" s="87"/>
      <c r="S514" s="87"/>
      <c r="T514" s="71"/>
      <c r="U514" s="89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</row>
    <row r="515" spans="1:41" ht="12.75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87"/>
      <c r="Q515" s="87"/>
      <c r="R515" s="87"/>
      <c r="S515" s="87"/>
      <c r="T515" s="71"/>
      <c r="U515" s="89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</row>
    <row r="516" spans="1:41" ht="12.75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87"/>
      <c r="Q516" s="87"/>
      <c r="R516" s="87"/>
      <c r="S516" s="87"/>
      <c r="T516" s="71"/>
      <c r="U516" s="89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</row>
    <row r="517" spans="1:41" ht="12.75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87"/>
      <c r="Q517" s="87"/>
      <c r="R517" s="87"/>
      <c r="S517" s="87"/>
      <c r="T517" s="71"/>
      <c r="U517" s="89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</row>
    <row r="518" spans="1:41" ht="12.75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87"/>
      <c r="Q518" s="87"/>
      <c r="R518" s="87"/>
      <c r="S518" s="87"/>
      <c r="T518" s="71"/>
      <c r="U518" s="89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</row>
    <row r="519" spans="1:41" ht="12.75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87"/>
      <c r="Q519" s="87"/>
      <c r="R519" s="87"/>
      <c r="S519" s="87"/>
      <c r="T519" s="71"/>
      <c r="U519" s="89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</row>
    <row r="520" spans="1:41" ht="12.75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87"/>
      <c r="Q520" s="87"/>
      <c r="R520" s="87"/>
      <c r="S520" s="87"/>
      <c r="T520" s="71"/>
      <c r="U520" s="89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</row>
    <row r="521" spans="1:41" ht="12.75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87"/>
      <c r="Q521" s="87"/>
      <c r="R521" s="87"/>
      <c r="S521" s="87"/>
      <c r="T521" s="71"/>
      <c r="U521" s="89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</row>
    <row r="522" spans="1:41" ht="12.75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87"/>
      <c r="Q522" s="87"/>
      <c r="R522" s="87"/>
      <c r="S522" s="87"/>
      <c r="T522" s="71"/>
      <c r="U522" s="89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</row>
    <row r="523" spans="1:41" ht="12.75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87"/>
      <c r="Q523" s="87"/>
      <c r="R523" s="87"/>
      <c r="S523" s="87"/>
      <c r="T523" s="71"/>
      <c r="U523" s="89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</row>
    <row r="524" spans="1:41" ht="12.75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87"/>
      <c r="Q524" s="87"/>
      <c r="R524" s="87"/>
      <c r="S524" s="87"/>
      <c r="T524" s="71"/>
      <c r="U524" s="89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</row>
    <row r="525" spans="1:41" ht="12.75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87"/>
      <c r="Q525" s="87"/>
      <c r="R525" s="87"/>
      <c r="S525" s="87"/>
      <c r="T525" s="71"/>
      <c r="U525" s="89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</row>
    <row r="526" spans="1:41" ht="12.75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87"/>
      <c r="Q526" s="87"/>
      <c r="R526" s="87"/>
      <c r="S526" s="87"/>
      <c r="T526" s="71"/>
      <c r="U526" s="89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</row>
    <row r="527" spans="1:41" ht="12.75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87"/>
      <c r="Q527" s="87"/>
      <c r="R527" s="87"/>
      <c r="S527" s="87"/>
      <c r="T527" s="71"/>
      <c r="U527" s="89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</row>
    <row r="528" spans="1:41" ht="12.75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87"/>
      <c r="Q528" s="87"/>
      <c r="R528" s="87"/>
      <c r="S528" s="87"/>
      <c r="T528" s="71"/>
      <c r="U528" s="89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</row>
    <row r="529" spans="1:41" ht="12.75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87"/>
      <c r="Q529" s="87"/>
      <c r="R529" s="87"/>
      <c r="S529" s="87"/>
      <c r="T529" s="71"/>
      <c r="U529" s="89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</row>
    <row r="530" spans="1:41" ht="12.75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87"/>
      <c r="Q530" s="87"/>
      <c r="R530" s="87"/>
      <c r="S530" s="87"/>
      <c r="T530" s="71"/>
      <c r="U530" s="89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</row>
    <row r="531" spans="1:41" ht="12.75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87"/>
      <c r="Q531" s="87"/>
      <c r="R531" s="87"/>
      <c r="S531" s="87"/>
      <c r="T531" s="71"/>
      <c r="U531" s="89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</row>
    <row r="532" spans="1:41" ht="12.75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87"/>
      <c r="Q532" s="87"/>
      <c r="R532" s="87"/>
      <c r="S532" s="87"/>
      <c r="T532" s="71"/>
      <c r="U532" s="89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</row>
    <row r="533" spans="1:41" ht="12.75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87"/>
      <c r="Q533" s="87"/>
      <c r="R533" s="87"/>
      <c r="S533" s="87"/>
      <c r="T533" s="71"/>
      <c r="U533" s="89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</row>
    <row r="534" spans="1:41" ht="12.75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87"/>
      <c r="Q534" s="87"/>
      <c r="R534" s="87"/>
      <c r="S534" s="87"/>
      <c r="T534" s="71"/>
      <c r="U534" s="89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</row>
    <row r="535" spans="1:41" ht="12.75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87"/>
      <c r="Q535" s="87"/>
      <c r="R535" s="87"/>
      <c r="S535" s="87"/>
      <c r="T535" s="71"/>
      <c r="U535" s="89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</row>
    <row r="536" spans="1:41" ht="12.75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87"/>
      <c r="Q536" s="87"/>
      <c r="R536" s="87"/>
      <c r="S536" s="87"/>
      <c r="T536" s="71"/>
      <c r="U536" s="89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</row>
    <row r="537" spans="1:41" ht="12.75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87"/>
      <c r="Q537" s="87"/>
      <c r="R537" s="87"/>
      <c r="S537" s="87"/>
      <c r="T537" s="71"/>
      <c r="U537" s="89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</row>
    <row r="538" spans="1:41" ht="12.75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87"/>
      <c r="Q538" s="87"/>
      <c r="R538" s="87"/>
      <c r="S538" s="87"/>
      <c r="T538" s="71"/>
      <c r="U538" s="89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</row>
    <row r="539" spans="1:41" ht="12.75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87"/>
      <c r="Q539" s="87"/>
      <c r="R539" s="87"/>
      <c r="S539" s="87"/>
      <c r="T539" s="71"/>
      <c r="U539" s="89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</row>
    <row r="540" spans="1:41" ht="12.75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87"/>
      <c r="Q540" s="87"/>
      <c r="R540" s="87"/>
      <c r="S540" s="87"/>
      <c r="T540" s="71"/>
      <c r="U540" s="89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</row>
    <row r="541" spans="1:41" ht="12.75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87"/>
      <c r="Q541" s="87"/>
      <c r="R541" s="87"/>
      <c r="S541" s="87"/>
      <c r="T541" s="71"/>
      <c r="U541" s="89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</row>
    <row r="542" spans="1:41" ht="12.75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87"/>
      <c r="Q542" s="87"/>
      <c r="R542" s="87"/>
      <c r="S542" s="87"/>
      <c r="T542" s="71"/>
      <c r="U542" s="89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</row>
    <row r="543" spans="1:41" ht="12.75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87"/>
      <c r="Q543" s="87"/>
      <c r="R543" s="87"/>
      <c r="S543" s="87"/>
      <c r="T543" s="71"/>
      <c r="U543" s="89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</row>
    <row r="544" spans="1:41" ht="12.75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87"/>
      <c r="Q544" s="87"/>
      <c r="R544" s="87"/>
      <c r="S544" s="87"/>
      <c r="T544" s="71"/>
      <c r="U544" s="89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</row>
    <row r="545" spans="1:41" ht="12.75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87"/>
      <c r="Q545" s="87"/>
      <c r="R545" s="87"/>
      <c r="S545" s="87"/>
      <c r="T545" s="71"/>
      <c r="U545" s="89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</row>
    <row r="546" spans="1:41" ht="12.75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87"/>
      <c r="Q546" s="87"/>
      <c r="R546" s="87"/>
      <c r="S546" s="87"/>
      <c r="T546" s="71"/>
      <c r="U546" s="89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</row>
    <row r="547" spans="1:41" ht="12.75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87"/>
      <c r="Q547" s="87"/>
      <c r="R547" s="87"/>
      <c r="S547" s="87"/>
      <c r="T547" s="71"/>
      <c r="U547" s="89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</row>
    <row r="548" spans="1:41" ht="12.75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87"/>
      <c r="Q548" s="87"/>
      <c r="R548" s="87"/>
      <c r="S548" s="87"/>
      <c r="T548" s="71"/>
      <c r="U548" s="89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</row>
    <row r="549" spans="1:41" ht="12.75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87"/>
      <c r="Q549" s="87"/>
      <c r="R549" s="87"/>
      <c r="S549" s="87"/>
      <c r="T549" s="71"/>
      <c r="U549" s="89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</row>
    <row r="550" spans="1:41" ht="12.75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87"/>
      <c r="Q550" s="87"/>
      <c r="R550" s="87"/>
      <c r="S550" s="87"/>
      <c r="T550" s="71"/>
      <c r="U550" s="89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</row>
    <row r="551" spans="1:41" ht="12.75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87"/>
      <c r="Q551" s="87"/>
      <c r="R551" s="87"/>
      <c r="S551" s="87"/>
      <c r="T551" s="71"/>
      <c r="U551" s="89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</row>
    <row r="552" spans="1:41" ht="12.75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87"/>
      <c r="Q552" s="87"/>
      <c r="R552" s="87"/>
      <c r="S552" s="87"/>
      <c r="T552" s="71"/>
      <c r="U552" s="89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</row>
    <row r="553" spans="1:41" ht="12.75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87"/>
      <c r="Q553" s="87"/>
      <c r="R553" s="87"/>
      <c r="S553" s="87"/>
      <c r="T553" s="71"/>
      <c r="U553" s="89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</row>
    <row r="554" spans="1:41" ht="12.75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87"/>
      <c r="Q554" s="87"/>
      <c r="R554" s="87"/>
      <c r="S554" s="87"/>
      <c r="T554" s="71"/>
      <c r="U554" s="89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</row>
    <row r="555" spans="1:41" ht="12.75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87"/>
      <c r="Q555" s="87"/>
      <c r="R555" s="87"/>
      <c r="S555" s="87"/>
      <c r="T555" s="71"/>
      <c r="U555" s="89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</row>
    <row r="556" spans="1:41" ht="12.75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87"/>
      <c r="Q556" s="87"/>
      <c r="R556" s="87"/>
      <c r="S556" s="87"/>
      <c r="T556" s="71"/>
      <c r="U556" s="89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</row>
    <row r="557" spans="1:41" ht="12.75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87"/>
      <c r="Q557" s="87"/>
      <c r="R557" s="87"/>
      <c r="S557" s="87"/>
      <c r="T557" s="71"/>
      <c r="U557" s="89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</row>
    <row r="558" spans="1:41" ht="12.75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87"/>
      <c r="Q558" s="87"/>
      <c r="R558" s="87"/>
      <c r="S558" s="87"/>
      <c r="T558" s="71"/>
      <c r="U558" s="89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</row>
    <row r="559" spans="1:41" ht="12.75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87"/>
      <c r="Q559" s="87"/>
      <c r="R559" s="87"/>
      <c r="S559" s="87"/>
      <c r="T559" s="71"/>
      <c r="U559" s="89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</row>
    <row r="560" spans="1:41" ht="12.75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87"/>
      <c r="Q560" s="87"/>
      <c r="R560" s="87"/>
      <c r="S560" s="87"/>
      <c r="T560" s="71"/>
      <c r="U560" s="89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</row>
    <row r="561" spans="1:41" ht="12.75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87"/>
      <c r="Q561" s="87"/>
      <c r="R561" s="87"/>
      <c r="S561" s="87"/>
      <c r="T561" s="71"/>
      <c r="U561" s="89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</row>
    <row r="562" spans="1:41" ht="12.75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87"/>
      <c r="Q562" s="87"/>
      <c r="R562" s="87"/>
      <c r="S562" s="87"/>
      <c r="T562" s="71"/>
      <c r="U562" s="89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</row>
    <row r="563" spans="1:41" ht="12.75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87"/>
      <c r="Q563" s="87"/>
      <c r="R563" s="87"/>
      <c r="S563" s="87"/>
      <c r="T563" s="71"/>
      <c r="U563" s="89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</row>
    <row r="564" spans="1:41" ht="12.75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87"/>
      <c r="Q564" s="87"/>
      <c r="R564" s="87"/>
      <c r="S564" s="87"/>
      <c r="T564" s="71"/>
      <c r="U564" s="89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</row>
    <row r="565" spans="1:41" ht="12.75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87"/>
      <c r="Q565" s="87"/>
      <c r="R565" s="87"/>
      <c r="S565" s="87"/>
      <c r="T565" s="71"/>
      <c r="U565" s="89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</row>
    <row r="566" spans="1:41" ht="12.75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87"/>
      <c r="Q566" s="87"/>
      <c r="R566" s="87"/>
      <c r="S566" s="87"/>
      <c r="T566" s="71"/>
      <c r="U566" s="89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</row>
    <row r="567" spans="1:41" ht="12.75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87"/>
      <c r="Q567" s="87"/>
      <c r="R567" s="87"/>
      <c r="S567" s="87"/>
      <c r="T567" s="71"/>
      <c r="U567" s="89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</row>
    <row r="568" spans="1:41" ht="12.75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87"/>
      <c r="Q568" s="87"/>
      <c r="R568" s="87"/>
      <c r="S568" s="87"/>
      <c r="T568" s="71"/>
      <c r="U568" s="89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</row>
    <row r="569" spans="1:41" ht="12.75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87"/>
      <c r="Q569" s="87"/>
      <c r="R569" s="87"/>
      <c r="S569" s="87"/>
      <c r="T569" s="71"/>
      <c r="U569" s="89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</row>
    <row r="570" spans="1:41" ht="12.75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87"/>
      <c r="Q570" s="87"/>
      <c r="R570" s="87"/>
      <c r="S570" s="87"/>
      <c r="T570" s="71"/>
      <c r="U570" s="89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</row>
    <row r="571" spans="1:41" ht="12.75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87"/>
      <c r="Q571" s="87"/>
      <c r="R571" s="87"/>
      <c r="S571" s="87"/>
      <c r="T571" s="71"/>
      <c r="U571" s="89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</row>
    <row r="572" spans="1:41" ht="12.75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87"/>
      <c r="Q572" s="87"/>
      <c r="R572" s="87"/>
      <c r="S572" s="87"/>
      <c r="T572" s="71"/>
      <c r="U572" s="89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</row>
    <row r="573" spans="1:41" ht="12.75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87"/>
      <c r="Q573" s="87"/>
      <c r="R573" s="87"/>
      <c r="S573" s="87"/>
      <c r="T573" s="71"/>
      <c r="U573" s="89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</row>
    <row r="574" spans="1:41" ht="12.75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87"/>
      <c r="Q574" s="87"/>
      <c r="R574" s="87"/>
      <c r="S574" s="87"/>
      <c r="T574" s="71"/>
      <c r="U574" s="89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</row>
    <row r="575" spans="1:41" ht="12.75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87"/>
      <c r="Q575" s="87"/>
      <c r="R575" s="87"/>
      <c r="S575" s="87"/>
      <c r="T575" s="71"/>
      <c r="U575" s="89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</row>
    <row r="576" spans="1:41" ht="12.75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87"/>
      <c r="Q576" s="87"/>
      <c r="R576" s="87"/>
      <c r="S576" s="87"/>
      <c r="T576" s="71"/>
      <c r="U576" s="89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</row>
    <row r="577" spans="1:41" ht="12.75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87"/>
      <c r="Q577" s="87"/>
      <c r="R577" s="87"/>
      <c r="S577" s="87"/>
      <c r="T577" s="71"/>
      <c r="U577" s="89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</row>
    <row r="578" spans="1:41" ht="12.75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87"/>
      <c r="Q578" s="87"/>
      <c r="R578" s="87"/>
      <c r="S578" s="87"/>
      <c r="T578" s="71"/>
      <c r="U578" s="89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</row>
    <row r="579" spans="1:41" ht="12.75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87"/>
      <c r="Q579" s="87"/>
      <c r="R579" s="87"/>
      <c r="S579" s="87"/>
      <c r="T579" s="71"/>
      <c r="U579" s="89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  <c r="AM579" s="71"/>
      <c r="AN579" s="71"/>
      <c r="AO579" s="71"/>
    </row>
    <row r="580" spans="1:41" ht="12.75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87"/>
      <c r="Q580" s="87"/>
      <c r="R580" s="87"/>
      <c r="S580" s="87"/>
      <c r="T580" s="71"/>
      <c r="U580" s="89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</row>
    <row r="581" spans="1:41" ht="12.75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87"/>
      <c r="Q581" s="87"/>
      <c r="R581" s="87"/>
      <c r="S581" s="87"/>
      <c r="T581" s="71"/>
      <c r="U581" s="89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  <c r="AM581" s="71"/>
      <c r="AN581" s="71"/>
      <c r="AO581" s="71"/>
    </row>
    <row r="582" spans="1:41" ht="12.75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87"/>
      <c r="Q582" s="87"/>
      <c r="R582" s="87"/>
      <c r="S582" s="87"/>
      <c r="T582" s="71"/>
      <c r="U582" s="89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</row>
    <row r="583" spans="1:41" ht="12.75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87"/>
      <c r="Q583" s="87"/>
      <c r="R583" s="87"/>
      <c r="S583" s="87"/>
      <c r="T583" s="71"/>
      <c r="U583" s="89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  <c r="AM583" s="71"/>
      <c r="AN583" s="71"/>
      <c r="AO583" s="71"/>
    </row>
    <row r="584" spans="1:41" ht="12.75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87"/>
      <c r="Q584" s="87"/>
      <c r="R584" s="87"/>
      <c r="S584" s="87"/>
      <c r="T584" s="71"/>
      <c r="U584" s="89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  <c r="AM584" s="71"/>
      <c r="AN584" s="71"/>
      <c r="AO584" s="71"/>
    </row>
    <row r="585" spans="1:41" ht="12.75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87"/>
      <c r="Q585" s="87"/>
      <c r="R585" s="87"/>
      <c r="S585" s="87"/>
      <c r="T585" s="71"/>
      <c r="U585" s="89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  <c r="AM585" s="71"/>
      <c r="AN585" s="71"/>
      <c r="AO585" s="71"/>
    </row>
    <row r="586" spans="1:41" ht="12.75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87"/>
      <c r="Q586" s="87"/>
      <c r="R586" s="87"/>
      <c r="S586" s="87"/>
      <c r="T586" s="71"/>
      <c r="U586" s="89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  <c r="AM586" s="71"/>
      <c r="AN586" s="71"/>
      <c r="AO586" s="71"/>
    </row>
    <row r="587" spans="1:41" ht="12.75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87"/>
      <c r="Q587" s="87"/>
      <c r="R587" s="87"/>
      <c r="S587" s="87"/>
      <c r="T587" s="71"/>
      <c r="U587" s="89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</row>
    <row r="588" spans="1:41" ht="12.75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87"/>
      <c r="Q588" s="87"/>
      <c r="R588" s="87"/>
      <c r="S588" s="87"/>
      <c r="T588" s="71"/>
      <c r="U588" s="89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  <c r="AM588" s="71"/>
      <c r="AN588" s="71"/>
      <c r="AO588" s="71"/>
    </row>
    <row r="589" spans="1:41" ht="12.75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87"/>
      <c r="Q589" s="87"/>
      <c r="R589" s="87"/>
      <c r="S589" s="87"/>
      <c r="T589" s="71"/>
      <c r="U589" s="89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  <c r="AM589" s="71"/>
      <c r="AN589" s="71"/>
      <c r="AO589" s="71"/>
    </row>
    <row r="590" spans="1:41" ht="12.75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87"/>
      <c r="Q590" s="87"/>
      <c r="R590" s="87"/>
      <c r="S590" s="87"/>
      <c r="T590" s="71"/>
      <c r="U590" s="89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  <c r="AM590" s="71"/>
      <c r="AN590" s="71"/>
      <c r="AO590" s="71"/>
    </row>
    <row r="591" spans="1:41" ht="12.75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87"/>
      <c r="Q591" s="87"/>
      <c r="R591" s="87"/>
      <c r="S591" s="87"/>
      <c r="T591" s="71"/>
      <c r="U591" s="89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</row>
    <row r="592" spans="1:41" ht="12.75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87"/>
      <c r="Q592" s="87"/>
      <c r="R592" s="87"/>
      <c r="S592" s="87"/>
      <c r="T592" s="71"/>
      <c r="U592" s="89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</row>
    <row r="593" spans="1:41" ht="12.75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87"/>
      <c r="Q593" s="87"/>
      <c r="R593" s="87"/>
      <c r="S593" s="87"/>
      <c r="T593" s="71"/>
      <c r="U593" s="89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</row>
    <row r="594" spans="1:41" ht="12.75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87"/>
      <c r="Q594" s="87"/>
      <c r="R594" s="87"/>
      <c r="S594" s="87"/>
      <c r="T594" s="71"/>
      <c r="U594" s="89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</row>
    <row r="595" spans="1:41" ht="12.75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87"/>
      <c r="Q595" s="87"/>
      <c r="R595" s="87"/>
      <c r="S595" s="87"/>
      <c r="T595" s="71"/>
      <c r="U595" s="89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</row>
    <row r="596" spans="1:41" ht="12.75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87"/>
      <c r="Q596" s="87"/>
      <c r="R596" s="87"/>
      <c r="S596" s="87"/>
      <c r="T596" s="71"/>
      <c r="U596" s="89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</row>
    <row r="597" spans="1:41" ht="12.75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87"/>
      <c r="Q597" s="87"/>
      <c r="R597" s="87"/>
      <c r="S597" s="87"/>
      <c r="T597" s="71"/>
      <c r="U597" s="89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</row>
    <row r="598" spans="1:41" ht="12.75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87"/>
      <c r="Q598" s="87"/>
      <c r="R598" s="87"/>
      <c r="S598" s="87"/>
      <c r="T598" s="71"/>
      <c r="U598" s="89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</row>
    <row r="599" spans="1:41" ht="12.75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87"/>
      <c r="Q599" s="87"/>
      <c r="R599" s="87"/>
      <c r="S599" s="87"/>
      <c r="T599" s="71"/>
      <c r="U599" s="89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</row>
    <row r="600" spans="1:41" ht="12.75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87"/>
      <c r="Q600" s="87"/>
      <c r="R600" s="87"/>
      <c r="S600" s="87"/>
      <c r="T600" s="71"/>
      <c r="U600" s="89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</row>
    <row r="601" spans="1:41" ht="12.75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87"/>
      <c r="Q601" s="87"/>
      <c r="R601" s="87"/>
      <c r="S601" s="87"/>
      <c r="T601" s="71"/>
      <c r="U601" s="89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</row>
    <row r="602" spans="1:41" ht="12.75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87"/>
      <c r="Q602" s="87"/>
      <c r="R602" s="87"/>
      <c r="S602" s="87"/>
      <c r="T602" s="71"/>
      <c r="U602" s="89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</row>
    <row r="603" spans="1:41" ht="12.75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87"/>
      <c r="Q603" s="87"/>
      <c r="R603" s="87"/>
      <c r="S603" s="87"/>
      <c r="T603" s="71"/>
      <c r="U603" s="89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  <c r="AM603" s="71"/>
      <c r="AN603" s="71"/>
      <c r="AO603" s="71"/>
    </row>
    <row r="604" spans="1:41" ht="12.75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87"/>
      <c r="Q604" s="87"/>
      <c r="R604" s="87"/>
      <c r="S604" s="87"/>
      <c r="T604" s="71"/>
      <c r="U604" s="89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  <c r="AM604" s="71"/>
      <c r="AN604" s="71"/>
      <c r="AO604" s="71"/>
    </row>
    <row r="605" spans="1:41" ht="12.75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87"/>
      <c r="Q605" s="87"/>
      <c r="R605" s="87"/>
      <c r="S605" s="87"/>
      <c r="T605" s="71"/>
      <c r="U605" s="89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  <c r="AM605" s="71"/>
      <c r="AN605" s="71"/>
      <c r="AO605" s="71"/>
    </row>
    <row r="606" spans="1:41" ht="12.75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87"/>
      <c r="Q606" s="87"/>
      <c r="R606" s="87"/>
      <c r="S606" s="87"/>
      <c r="T606" s="71"/>
      <c r="U606" s="89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</row>
    <row r="607" spans="1:41" ht="12.75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87"/>
      <c r="Q607" s="87"/>
      <c r="R607" s="87"/>
      <c r="S607" s="87"/>
      <c r="T607" s="71"/>
      <c r="U607" s="89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  <c r="AM607" s="71"/>
      <c r="AN607" s="71"/>
      <c r="AO607" s="71"/>
    </row>
    <row r="608" spans="1:41" ht="12.75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87"/>
      <c r="Q608" s="87"/>
      <c r="R608" s="87"/>
      <c r="S608" s="87"/>
      <c r="T608" s="71"/>
      <c r="U608" s="89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  <c r="AM608" s="71"/>
      <c r="AN608" s="71"/>
      <c r="AO608" s="71"/>
    </row>
    <row r="609" spans="1:41" ht="12.75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87"/>
      <c r="Q609" s="87"/>
      <c r="R609" s="87"/>
      <c r="S609" s="87"/>
      <c r="T609" s="71"/>
      <c r="U609" s="89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  <c r="AM609" s="71"/>
      <c r="AN609" s="71"/>
      <c r="AO609" s="71"/>
    </row>
    <row r="610" spans="1:41" ht="12.75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87"/>
      <c r="Q610" s="87"/>
      <c r="R610" s="87"/>
      <c r="S610" s="87"/>
      <c r="T610" s="71"/>
      <c r="U610" s="89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</row>
    <row r="611" spans="1:41" ht="12.75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87"/>
      <c r="Q611" s="87"/>
      <c r="R611" s="87"/>
      <c r="S611" s="87"/>
      <c r="T611" s="71"/>
      <c r="U611" s="89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</row>
    <row r="612" spans="1:41" ht="12.75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87"/>
      <c r="Q612" s="87"/>
      <c r="R612" s="87"/>
      <c r="S612" s="87"/>
      <c r="T612" s="71"/>
      <c r="U612" s="89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  <c r="AM612" s="71"/>
      <c r="AN612" s="71"/>
      <c r="AO612" s="71"/>
    </row>
    <row r="613" spans="1:41" ht="12.75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87"/>
      <c r="Q613" s="87"/>
      <c r="R613" s="87"/>
      <c r="S613" s="87"/>
      <c r="T613" s="71"/>
      <c r="U613" s="89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  <c r="AM613" s="71"/>
      <c r="AN613" s="71"/>
      <c r="AO613" s="71"/>
    </row>
    <row r="614" spans="1:41" ht="12.75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87"/>
      <c r="Q614" s="87"/>
      <c r="R614" s="87"/>
      <c r="S614" s="87"/>
      <c r="T614" s="71"/>
      <c r="U614" s="89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  <c r="AM614" s="71"/>
      <c r="AN614" s="71"/>
      <c r="AO614" s="71"/>
    </row>
    <row r="615" spans="1:41" ht="12.75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87"/>
      <c r="Q615" s="87"/>
      <c r="R615" s="87"/>
      <c r="S615" s="87"/>
      <c r="T615" s="71"/>
      <c r="U615" s="89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  <c r="AM615" s="71"/>
      <c r="AN615" s="71"/>
      <c r="AO615" s="71"/>
    </row>
    <row r="616" spans="1:41" ht="12.75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87"/>
      <c r="Q616" s="87"/>
      <c r="R616" s="87"/>
      <c r="S616" s="87"/>
      <c r="T616" s="71"/>
      <c r="U616" s="89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</row>
    <row r="617" spans="1:41" ht="12.75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87"/>
      <c r="Q617" s="87"/>
      <c r="R617" s="87"/>
      <c r="S617" s="87"/>
      <c r="T617" s="71"/>
      <c r="U617" s="89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</row>
    <row r="618" spans="1:41" ht="12.75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87"/>
      <c r="Q618" s="87"/>
      <c r="R618" s="87"/>
      <c r="S618" s="87"/>
      <c r="T618" s="71"/>
      <c r="U618" s="89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  <c r="AM618" s="71"/>
      <c r="AN618" s="71"/>
      <c r="AO618" s="71"/>
    </row>
    <row r="619" spans="1:41" ht="12.75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87"/>
      <c r="Q619" s="87"/>
      <c r="R619" s="87"/>
      <c r="S619" s="87"/>
      <c r="T619" s="71"/>
      <c r="U619" s="89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  <c r="AM619" s="71"/>
      <c r="AN619" s="71"/>
      <c r="AO619" s="71"/>
    </row>
    <row r="620" spans="1:41" ht="12.75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87"/>
      <c r="Q620" s="87"/>
      <c r="R620" s="87"/>
      <c r="S620" s="87"/>
      <c r="T620" s="71"/>
      <c r="U620" s="89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  <c r="AM620" s="71"/>
      <c r="AN620" s="71"/>
      <c r="AO620" s="71"/>
    </row>
    <row r="621" spans="1:41" ht="12.75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87"/>
      <c r="Q621" s="87"/>
      <c r="R621" s="87"/>
      <c r="S621" s="87"/>
      <c r="T621" s="71"/>
      <c r="U621" s="89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  <c r="AM621" s="71"/>
      <c r="AN621" s="71"/>
      <c r="AO621" s="71"/>
    </row>
    <row r="622" spans="1:41" ht="12.75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87"/>
      <c r="Q622" s="87"/>
      <c r="R622" s="87"/>
      <c r="S622" s="87"/>
      <c r="T622" s="71"/>
      <c r="U622" s="89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  <c r="AM622" s="71"/>
      <c r="AN622" s="71"/>
      <c r="AO622" s="71"/>
    </row>
    <row r="623" spans="1:41" ht="12.75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87"/>
      <c r="Q623" s="87"/>
      <c r="R623" s="87"/>
      <c r="S623" s="87"/>
      <c r="T623" s="71"/>
      <c r="U623" s="89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  <c r="AM623" s="71"/>
      <c r="AN623" s="71"/>
      <c r="AO623" s="71"/>
    </row>
    <row r="624" spans="1:41" ht="12.75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87"/>
      <c r="Q624" s="87"/>
      <c r="R624" s="87"/>
      <c r="S624" s="87"/>
      <c r="T624" s="71"/>
      <c r="U624" s="89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  <c r="AM624" s="71"/>
      <c r="AN624" s="71"/>
      <c r="AO624" s="71"/>
    </row>
    <row r="625" spans="1:41" ht="12.75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87"/>
      <c r="Q625" s="87"/>
      <c r="R625" s="87"/>
      <c r="S625" s="87"/>
      <c r="T625" s="71"/>
      <c r="U625" s="89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  <c r="AM625" s="71"/>
      <c r="AN625" s="71"/>
      <c r="AO625" s="71"/>
    </row>
    <row r="626" spans="1:41" ht="12.75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87"/>
      <c r="Q626" s="87"/>
      <c r="R626" s="87"/>
      <c r="S626" s="87"/>
      <c r="T626" s="71"/>
      <c r="U626" s="89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  <c r="AM626" s="71"/>
      <c r="AN626" s="71"/>
      <c r="AO626" s="71"/>
    </row>
    <row r="627" spans="1:41" ht="12.75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87"/>
      <c r="Q627" s="87"/>
      <c r="R627" s="87"/>
      <c r="S627" s="87"/>
      <c r="T627" s="71"/>
      <c r="U627" s="89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</row>
    <row r="628" spans="1:41" ht="12.75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87"/>
      <c r="Q628" s="87"/>
      <c r="R628" s="87"/>
      <c r="S628" s="87"/>
      <c r="T628" s="71"/>
      <c r="U628" s="89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  <c r="AM628" s="71"/>
      <c r="AN628" s="71"/>
      <c r="AO628" s="71"/>
    </row>
    <row r="629" spans="1:41" ht="12.75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87"/>
      <c r="Q629" s="87"/>
      <c r="R629" s="87"/>
      <c r="S629" s="87"/>
      <c r="T629" s="71"/>
      <c r="U629" s="89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  <c r="AM629" s="71"/>
      <c r="AN629" s="71"/>
      <c r="AO629" s="71"/>
    </row>
    <row r="630" spans="1:41" ht="12.75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87"/>
      <c r="Q630" s="87"/>
      <c r="R630" s="87"/>
      <c r="S630" s="87"/>
      <c r="T630" s="71"/>
      <c r="U630" s="89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  <c r="AM630" s="71"/>
      <c r="AN630" s="71"/>
      <c r="AO630" s="71"/>
    </row>
    <row r="631" spans="1:41" ht="12.75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87"/>
      <c r="Q631" s="87"/>
      <c r="R631" s="87"/>
      <c r="S631" s="87"/>
      <c r="T631" s="71"/>
      <c r="U631" s="89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  <c r="AM631" s="71"/>
      <c r="AN631" s="71"/>
      <c r="AO631" s="71"/>
    </row>
    <row r="632" spans="1:41" ht="12.75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87"/>
      <c r="Q632" s="87"/>
      <c r="R632" s="87"/>
      <c r="S632" s="87"/>
      <c r="T632" s="71"/>
      <c r="U632" s="89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  <c r="AM632" s="71"/>
      <c r="AN632" s="71"/>
      <c r="AO632" s="71"/>
    </row>
    <row r="633" spans="1:41" ht="12.75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87"/>
      <c r="Q633" s="87"/>
      <c r="R633" s="87"/>
      <c r="S633" s="87"/>
      <c r="T633" s="71"/>
      <c r="U633" s="89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  <c r="AM633" s="71"/>
      <c r="AN633" s="71"/>
      <c r="AO633" s="71"/>
    </row>
    <row r="634" spans="1:41" ht="12.75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87"/>
      <c r="Q634" s="87"/>
      <c r="R634" s="87"/>
      <c r="S634" s="87"/>
      <c r="T634" s="71"/>
      <c r="U634" s="89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  <c r="AM634" s="71"/>
      <c r="AN634" s="71"/>
      <c r="AO634" s="71"/>
    </row>
    <row r="635" spans="1:41" ht="12.75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87"/>
      <c r="Q635" s="87"/>
      <c r="R635" s="87"/>
      <c r="S635" s="87"/>
      <c r="T635" s="71"/>
      <c r="U635" s="89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  <c r="AM635" s="71"/>
      <c r="AN635" s="71"/>
      <c r="AO635" s="71"/>
    </row>
    <row r="636" spans="1:41" ht="12.75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87"/>
      <c r="Q636" s="87"/>
      <c r="R636" s="87"/>
      <c r="S636" s="87"/>
      <c r="T636" s="71"/>
      <c r="U636" s="89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  <c r="AM636" s="71"/>
      <c r="AN636" s="71"/>
      <c r="AO636" s="71"/>
    </row>
    <row r="637" spans="1:41" ht="12.75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87"/>
      <c r="Q637" s="87"/>
      <c r="R637" s="87"/>
      <c r="S637" s="87"/>
      <c r="T637" s="71"/>
      <c r="U637" s="89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  <c r="AM637" s="71"/>
      <c r="AN637" s="71"/>
      <c r="AO637" s="71"/>
    </row>
    <row r="638" spans="1:41" ht="12.75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87"/>
      <c r="Q638" s="87"/>
      <c r="R638" s="87"/>
      <c r="S638" s="87"/>
      <c r="T638" s="71"/>
      <c r="U638" s="89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  <c r="AM638" s="71"/>
      <c r="AN638" s="71"/>
      <c r="AO638" s="71"/>
    </row>
    <row r="639" spans="1:41" ht="12.75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87"/>
      <c r="Q639" s="87"/>
      <c r="R639" s="87"/>
      <c r="S639" s="87"/>
      <c r="T639" s="71"/>
      <c r="U639" s="89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  <c r="AM639" s="71"/>
      <c r="AN639" s="71"/>
      <c r="AO639" s="71"/>
    </row>
    <row r="640" spans="1:41" ht="12.75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87"/>
      <c r="Q640" s="87"/>
      <c r="R640" s="87"/>
      <c r="S640" s="87"/>
      <c r="T640" s="71"/>
      <c r="U640" s="89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</row>
    <row r="641" spans="1:41" ht="12.75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87"/>
      <c r="Q641" s="87"/>
      <c r="R641" s="87"/>
      <c r="S641" s="87"/>
      <c r="T641" s="71"/>
      <c r="U641" s="89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  <c r="AM641" s="71"/>
      <c r="AN641" s="71"/>
      <c r="AO641" s="71"/>
    </row>
    <row r="642" spans="1:41" ht="12.75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87"/>
      <c r="Q642" s="87"/>
      <c r="R642" s="87"/>
      <c r="S642" s="87"/>
      <c r="T642" s="71"/>
      <c r="U642" s="89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  <c r="AM642" s="71"/>
      <c r="AN642" s="71"/>
      <c r="AO642" s="71"/>
    </row>
    <row r="643" spans="1:41" ht="12.75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87"/>
      <c r="Q643" s="87"/>
      <c r="R643" s="87"/>
      <c r="S643" s="87"/>
      <c r="T643" s="71"/>
      <c r="U643" s="89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  <c r="AM643" s="71"/>
      <c r="AN643" s="71"/>
      <c r="AO643" s="71"/>
    </row>
    <row r="644" spans="1:41" ht="12.75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87"/>
      <c r="Q644" s="87"/>
      <c r="R644" s="87"/>
      <c r="S644" s="87"/>
      <c r="T644" s="71"/>
      <c r="U644" s="89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  <c r="AM644" s="71"/>
      <c r="AN644" s="71"/>
      <c r="AO644" s="71"/>
    </row>
    <row r="645" spans="1:41" ht="12.75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87"/>
      <c r="Q645" s="87"/>
      <c r="R645" s="87"/>
      <c r="S645" s="87"/>
      <c r="T645" s="71"/>
      <c r="U645" s="89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  <c r="AM645" s="71"/>
      <c r="AN645" s="71"/>
      <c r="AO645" s="71"/>
    </row>
    <row r="646" spans="1:41" ht="12.75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87"/>
      <c r="Q646" s="87"/>
      <c r="R646" s="87"/>
      <c r="S646" s="87"/>
      <c r="T646" s="71"/>
      <c r="U646" s="89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  <c r="AM646" s="71"/>
      <c r="AN646" s="71"/>
      <c r="AO646" s="71"/>
    </row>
    <row r="647" spans="1:41" ht="12.75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87"/>
      <c r="Q647" s="87"/>
      <c r="R647" s="87"/>
      <c r="S647" s="87"/>
      <c r="T647" s="71"/>
      <c r="U647" s="89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  <c r="AM647" s="71"/>
      <c r="AN647" s="71"/>
      <c r="AO647" s="71"/>
    </row>
    <row r="648" spans="1:41" ht="12.75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87"/>
      <c r="Q648" s="87"/>
      <c r="R648" s="87"/>
      <c r="S648" s="87"/>
      <c r="T648" s="71"/>
      <c r="U648" s="89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  <c r="AM648" s="71"/>
      <c r="AN648" s="71"/>
      <c r="AO648" s="71"/>
    </row>
    <row r="649" spans="1:41" ht="12.75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87"/>
      <c r="Q649" s="87"/>
      <c r="R649" s="87"/>
      <c r="S649" s="87"/>
      <c r="T649" s="71"/>
      <c r="U649" s="89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  <c r="AM649" s="71"/>
      <c r="AN649" s="71"/>
      <c r="AO649" s="71"/>
    </row>
    <row r="650" spans="1:41" ht="12.75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87"/>
      <c r="Q650" s="87"/>
      <c r="R650" s="87"/>
      <c r="S650" s="87"/>
      <c r="T650" s="71"/>
      <c r="U650" s="89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</row>
    <row r="651" spans="1:41" ht="12.75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87"/>
      <c r="Q651" s="87"/>
      <c r="R651" s="87"/>
      <c r="S651" s="87"/>
      <c r="T651" s="71"/>
      <c r="U651" s="89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  <c r="AM651" s="71"/>
      <c r="AN651" s="71"/>
      <c r="AO651" s="71"/>
    </row>
    <row r="652" spans="1:41" ht="12.75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87"/>
      <c r="Q652" s="87"/>
      <c r="R652" s="87"/>
      <c r="S652" s="87"/>
      <c r="T652" s="71"/>
      <c r="U652" s="89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  <c r="AM652" s="71"/>
      <c r="AN652" s="71"/>
      <c r="AO652" s="71"/>
    </row>
    <row r="653" spans="1:41" ht="12.75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87"/>
      <c r="Q653" s="87"/>
      <c r="R653" s="87"/>
      <c r="S653" s="87"/>
      <c r="T653" s="71"/>
      <c r="U653" s="89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  <c r="AM653" s="71"/>
      <c r="AN653" s="71"/>
      <c r="AO653" s="71"/>
    </row>
    <row r="654" spans="1:41" ht="12.75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87"/>
      <c r="Q654" s="87"/>
      <c r="R654" s="87"/>
      <c r="S654" s="87"/>
      <c r="T654" s="71"/>
      <c r="U654" s="89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  <c r="AM654" s="71"/>
      <c r="AN654" s="71"/>
      <c r="AO654" s="71"/>
    </row>
    <row r="655" spans="1:41" ht="12.75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87"/>
      <c r="Q655" s="87"/>
      <c r="R655" s="87"/>
      <c r="S655" s="87"/>
      <c r="T655" s="71"/>
      <c r="U655" s="89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  <c r="AM655" s="71"/>
      <c r="AN655" s="71"/>
      <c r="AO655" s="71"/>
    </row>
    <row r="656" spans="1:41" ht="12.75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87"/>
      <c r="Q656" s="87"/>
      <c r="R656" s="87"/>
      <c r="S656" s="87"/>
      <c r="T656" s="71"/>
      <c r="U656" s="89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  <c r="AM656" s="71"/>
      <c r="AN656" s="71"/>
      <c r="AO656" s="71"/>
    </row>
    <row r="657" spans="1:41" ht="12.75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87"/>
      <c r="Q657" s="87"/>
      <c r="R657" s="87"/>
      <c r="S657" s="87"/>
      <c r="T657" s="71"/>
      <c r="U657" s="89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  <c r="AM657" s="71"/>
      <c r="AN657" s="71"/>
      <c r="AO657" s="71"/>
    </row>
    <row r="658" spans="1:41" ht="12.75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87"/>
      <c r="Q658" s="87"/>
      <c r="R658" s="87"/>
      <c r="S658" s="87"/>
      <c r="T658" s="71"/>
      <c r="U658" s="89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  <c r="AM658" s="71"/>
      <c r="AN658" s="71"/>
      <c r="AO658" s="71"/>
    </row>
    <row r="659" spans="1:41" ht="12.75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87"/>
      <c r="Q659" s="87"/>
      <c r="R659" s="87"/>
      <c r="S659" s="87"/>
      <c r="T659" s="71"/>
      <c r="U659" s="89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  <c r="AM659" s="71"/>
      <c r="AN659" s="71"/>
      <c r="AO659" s="71"/>
    </row>
    <row r="660" spans="1:41" ht="12.75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87"/>
      <c r="Q660" s="87"/>
      <c r="R660" s="87"/>
      <c r="S660" s="87"/>
      <c r="T660" s="71"/>
      <c r="U660" s="89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  <c r="AM660" s="71"/>
      <c r="AN660" s="71"/>
      <c r="AO660" s="71"/>
    </row>
    <row r="661" spans="1:41" ht="12.75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87"/>
      <c r="Q661" s="87"/>
      <c r="R661" s="87"/>
      <c r="S661" s="87"/>
      <c r="T661" s="71"/>
      <c r="U661" s="89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  <c r="AM661" s="71"/>
      <c r="AN661" s="71"/>
      <c r="AO661" s="71"/>
    </row>
    <row r="662" spans="1:41" ht="12.75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87"/>
      <c r="Q662" s="87"/>
      <c r="R662" s="87"/>
      <c r="S662" s="87"/>
      <c r="T662" s="71"/>
      <c r="U662" s="89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  <c r="AM662" s="71"/>
      <c r="AN662" s="71"/>
      <c r="AO662" s="71"/>
    </row>
    <row r="663" spans="1:41" ht="12.75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87"/>
      <c r="Q663" s="87"/>
      <c r="R663" s="87"/>
      <c r="S663" s="87"/>
      <c r="T663" s="71"/>
      <c r="U663" s="89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  <c r="AM663" s="71"/>
      <c r="AN663" s="71"/>
      <c r="AO663" s="71"/>
    </row>
    <row r="664" spans="1:41" ht="12.75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87"/>
      <c r="Q664" s="87"/>
      <c r="R664" s="87"/>
      <c r="S664" s="87"/>
      <c r="T664" s="71"/>
      <c r="U664" s="89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  <c r="AM664" s="71"/>
      <c r="AN664" s="71"/>
      <c r="AO664" s="71"/>
    </row>
    <row r="665" spans="1:41" ht="12.75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87"/>
      <c r="Q665" s="87"/>
      <c r="R665" s="87"/>
      <c r="S665" s="87"/>
      <c r="T665" s="71"/>
      <c r="U665" s="89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  <c r="AM665" s="71"/>
      <c r="AN665" s="71"/>
      <c r="AO665" s="71"/>
    </row>
    <row r="666" spans="1:41" ht="12.75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87"/>
      <c r="Q666" s="87"/>
      <c r="R666" s="87"/>
      <c r="S666" s="87"/>
      <c r="T666" s="71"/>
      <c r="U666" s="89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  <c r="AM666" s="71"/>
      <c r="AN666" s="71"/>
      <c r="AO666" s="71"/>
    </row>
    <row r="667" spans="1:41" ht="12.75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87"/>
      <c r="Q667" s="87"/>
      <c r="R667" s="87"/>
      <c r="S667" s="87"/>
      <c r="T667" s="71"/>
      <c r="U667" s="89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  <c r="AM667" s="71"/>
      <c r="AN667" s="71"/>
      <c r="AO667" s="71"/>
    </row>
    <row r="668" spans="1:41" ht="12.75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87"/>
      <c r="Q668" s="87"/>
      <c r="R668" s="87"/>
      <c r="S668" s="87"/>
      <c r="T668" s="71"/>
      <c r="U668" s="89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  <c r="AM668" s="71"/>
      <c r="AN668" s="71"/>
      <c r="AO668" s="71"/>
    </row>
    <row r="669" spans="1:41" ht="12.75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87"/>
      <c r="Q669" s="87"/>
      <c r="R669" s="87"/>
      <c r="S669" s="87"/>
      <c r="T669" s="71"/>
      <c r="U669" s="89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  <c r="AM669" s="71"/>
      <c r="AN669" s="71"/>
      <c r="AO669" s="71"/>
    </row>
    <row r="670" spans="1:41" ht="12.75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87"/>
      <c r="Q670" s="87"/>
      <c r="R670" s="87"/>
      <c r="S670" s="87"/>
      <c r="T670" s="71"/>
      <c r="U670" s="89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  <c r="AM670" s="71"/>
      <c r="AN670" s="71"/>
      <c r="AO670" s="71"/>
    </row>
    <row r="671" spans="1:41" ht="12.75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87"/>
      <c r="Q671" s="87"/>
      <c r="R671" s="87"/>
      <c r="S671" s="87"/>
      <c r="T671" s="71"/>
      <c r="U671" s="89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  <c r="AM671" s="71"/>
      <c r="AN671" s="71"/>
      <c r="AO671" s="71"/>
    </row>
    <row r="672" spans="1:41" ht="12.75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87"/>
      <c r="Q672" s="87"/>
      <c r="R672" s="87"/>
      <c r="S672" s="87"/>
      <c r="T672" s="71"/>
      <c r="U672" s="89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  <c r="AM672" s="71"/>
      <c r="AN672" s="71"/>
      <c r="AO672" s="71"/>
    </row>
    <row r="673" spans="1:41" ht="12.75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87"/>
      <c r="Q673" s="87"/>
      <c r="R673" s="87"/>
      <c r="S673" s="87"/>
      <c r="T673" s="71"/>
      <c r="U673" s="89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  <c r="AM673" s="71"/>
      <c r="AN673" s="71"/>
      <c r="AO673" s="71"/>
    </row>
    <row r="674" spans="1:41" ht="12.75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87"/>
      <c r="Q674" s="87"/>
      <c r="R674" s="87"/>
      <c r="S674" s="87"/>
      <c r="T674" s="71"/>
      <c r="U674" s="89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  <c r="AM674" s="71"/>
      <c r="AN674" s="71"/>
      <c r="AO674" s="71"/>
    </row>
    <row r="675" spans="1:41" ht="12.75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87"/>
      <c r="Q675" s="87"/>
      <c r="R675" s="87"/>
      <c r="S675" s="87"/>
      <c r="T675" s="71"/>
      <c r="U675" s="89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  <c r="AM675" s="71"/>
      <c r="AN675" s="71"/>
      <c r="AO675" s="71"/>
    </row>
    <row r="676" spans="1:41" ht="12.75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87"/>
      <c r="Q676" s="87"/>
      <c r="R676" s="87"/>
      <c r="S676" s="87"/>
      <c r="T676" s="71"/>
      <c r="U676" s="89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  <c r="AM676" s="71"/>
      <c r="AN676" s="71"/>
      <c r="AO676" s="71"/>
    </row>
    <row r="677" spans="1:41" ht="12.75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87"/>
      <c r="Q677" s="87"/>
      <c r="R677" s="87"/>
      <c r="S677" s="87"/>
      <c r="T677" s="71"/>
      <c r="U677" s="89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  <c r="AM677" s="71"/>
      <c r="AN677" s="71"/>
      <c r="AO677" s="71"/>
    </row>
    <row r="678" spans="1:41" ht="12.75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87"/>
      <c r="Q678" s="87"/>
      <c r="R678" s="87"/>
      <c r="S678" s="87"/>
      <c r="T678" s="71"/>
      <c r="U678" s="89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  <c r="AM678" s="71"/>
      <c r="AN678" s="71"/>
      <c r="AO678" s="71"/>
    </row>
    <row r="679" spans="1:41" ht="12.75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87"/>
      <c r="Q679" s="87"/>
      <c r="R679" s="87"/>
      <c r="S679" s="87"/>
      <c r="T679" s="71"/>
      <c r="U679" s="89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  <c r="AM679" s="71"/>
      <c r="AN679" s="71"/>
      <c r="AO679" s="71"/>
    </row>
    <row r="680" spans="1:41" ht="12.75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87"/>
      <c r="Q680" s="87"/>
      <c r="R680" s="87"/>
      <c r="S680" s="87"/>
      <c r="T680" s="71"/>
      <c r="U680" s="89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  <c r="AM680" s="71"/>
      <c r="AN680" s="71"/>
      <c r="AO680" s="71"/>
    </row>
    <row r="681" spans="1:41" ht="12.75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87"/>
      <c r="Q681" s="87"/>
      <c r="R681" s="87"/>
      <c r="S681" s="87"/>
      <c r="T681" s="71"/>
      <c r="U681" s="89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  <c r="AM681" s="71"/>
      <c r="AN681" s="71"/>
      <c r="AO681" s="71"/>
    </row>
    <row r="682" spans="1:41" ht="12.75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87"/>
      <c r="Q682" s="87"/>
      <c r="R682" s="87"/>
      <c r="S682" s="87"/>
      <c r="T682" s="71"/>
      <c r="U682" s="89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  <c r="AM682" s="71"/>
      <c r="AN682" s="71"/>
      <c r="AO682" s="71"/>
    </row>
    <row r="683" spans="1:41" ht="12.75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87"/>
      <c r="Q683" s="87"/>
      <c r="R683" s="87"/>
      <c r="S683" s="87"/>
      <c r="T683" s="71"/>
      <c r="U683" s="89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  <c r="AM683" s="71"/>
      <c r="AN683" s="71"/>
      <c r="AO683" s="71"/>
    </row>
    <row r="684" spans="1:41" ht="12.75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87"/>
      <c r="Q684" s="87"/>
      <c r="R684" s="87"/>
      <c r="S684" s="87"/>
      <c r="T684" s="71"/>
      <c r="U684" s="89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  <c r="AM684" s="71"/>
      <c r="AN684" s="71"/>
      <c r="AO684" s="71"/>
    </row>
    <row r="685" spans="1:41" ht="12.75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87"/>
      <c r="Q685" s="87"/>
      <c r="R685" s="87"/>
      <c r="S685" s="87"/>
      <c r="T685" s="71"/>
      <c r="U685" s="89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  <c r="AM685" s="71"/>
      <c r="AN685" s="71"/>
      <c r="AO685" s="71"/>
    </row>
    <row r="686" spans="1:41" ht="12.75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87"/>
      <c r="Q686" s="87"/>
      <c r="R686" s="87"/>
      <c r="S686" s="87"/>
      <c r="T686" s="71"/>
      <c r="U686" s="89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  <c r="AM686" s="71"/>
      <c r="AN686" s="71"/>
      <c r="AO686" s="71"/>
    </row>
    <row r="687" spans="1:41" ht="12.75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87"/>
      <c r="Q687" s="87"/>
      <c r="R687" s="87"/>
      <c r="S687" s="87"/>
      <c r="T687" s="71"/>
      <c r="U687" s="89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  <c r="AM687" s="71"/>
      <c r="AN687" s="71"/>
      <c r="AO687" s="71"/>
    </row>
    <row r="688" spans="1:41" ht="12.75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87"/>
      <c r="Q688" s="87"/>
      <c r="R688" s="87"/>
      <c r="S688" s="87"/>
      <c r="T688" s="71"/>
      <c r="U688" s="89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  <c r="AM688" s="71"/>
      <c r="AN688" s="71"/>
      <c r="AO688" s="71"/>
    </row>
    <row r="689" spans="1:41" ht="12.75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87"/>
      <c r="Q689" s="87"/>
      <c r="R689" s="87"/>
      <c r="S689" s="87"/>
      <c r="T689" s="71"/>
      <c r="U689" s="89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  <c r="AM689" s="71"/>
      <c r="AN689" s="71"/>
      <c r="AO689" s="71"/>
    </row>
    <row r="690" spans="1:41" ht="12.75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87"/>
      <c r="Q690" s="87"/>
      <c r="R690" s="87"/>
      <c r="S690" s="87"/>
      <c r="T690" s="71"/>
      <c r="U690" s="89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  <c r="AM690" s="71"/>
      <c r="AN690" s="71"/>
      <c r="AO690" s="71"/>
    </row>
    <row r="691" spans="1:41" ht="12.75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87"/>
      <c r="Q691" s="87"/>
      <c r="R691" s="87"/>
      <c r="S691" s="87"/>
      <c r="T691" s="71"/>
      <c r="U691" s="89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  <c r="AM691" s="71"/>
      <c r="AN691" s="71"/>
      <c r="AO691" s="71"/>
    </row>
    <row r="692" spans="1:41" ht="12.75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87"/>
      <c r="Q692" s="87"/>
      <c r="R692" s="87"/>
      <c r="S692" s="87"/>
      <c r="T692" s="71"/>
      <c r="U692" s="89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  <c r="AM692" s="71"/>
      <c r="AN692" s="71"/>
      <c r="AO692" s="71"/>
    </row>
    <row r="693" spans="1:41" ht="12.75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87"/>
      <c r="Q693" s="87"/>
      <c r="R693" s="87"/>
      <c r="S693" s="87"/>
      <c r="T693" s="71"/>
      <c r="U693" s="89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  <c r="AM693" s="71"/>
      <c r="AN693" s="71"/>
      <c r="AO693" s="71"/>
    </row>
    <row r="694" spans="1:41" ht="12.75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87"/>
      <c r="Q694" s="87"/>
      <c r="R694" s="87"/>
      <c r="S694" s="87"/>
      <c r="T694" s="71"/>
      <c r="U694" s="89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  <c r="AM694" s="71"/>
      <c r="AN694" s="71"/>
      <c r="AO694" s="71"/>
    </row>
    <row r="695" spans="1:41" ht="12.75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87"/>
      <c r="Q695" s="87"/>
      <c r="R695" s="87"/>
      <c r="S695" s="87"/>
      <c r="T695" s="71"/>
      <c r="U695" s="89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  <c r="AM695" s="71"/>
      <c r="AN695" s="71"/>
      <c r="AO695" s="71"/>
    </row>
    <row r="696" spans="1:41" ht="12.75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87"/>
      <c r="Q696" s="87"/>
      <c r="R696" s="87"/>
      <c r="S696" s="87"/>
      <c r="T696" s="71"/>
      <c r="U696" s="89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  <c r="AM696" s="71"/>
      <c r="AN696" s="71"/>
      <c r="AO696" s="71"/>
    </row>
    <row r="697" spans="1:41" ht="12.75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87"/>
      <c r="Q697" s="87"/>
      <c r="R697" s="87"/>
      <c r="S697" s="87"/>
      <c r="T697" s="71"/>
      <c r="U697" s="89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  <c r="AM697" s="71"/>
      <c r="AN697" s="71"/>
      <c r="AO697" s="71"/>
    </row>
    <row r="698" spans="1:41" ht="12.75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87"/>
      <c r="Q698" s="87"/>
      <c r="R698" s="87"/>
      <c r="S698" s="87"/>
      <c r="T698" s="71"/>
      <c r="U698" s="89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  <c r="AM698" s="71"/>
      <c r="AN698" s="71"/>
      <c r="AO698" s="71"/>
    </row>
    <row r="699" spans="1:41" ht="12.75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87"/>
      <c r="Q699" s="87"/>
      <c r="R699" s="87"/>
      <c r="S699" s="87"/>
      <c r="T699" s="71"/>
      <c r="U699" s="89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  <c r="AM699" s="71"/>
      <c r="AN699" s="71"/>
      <c r="AO699" s="71"/>
    </row>
    <row r="700" spans="1:41" ht="12.75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87"/>
      <c r="Q700" s="87"/>
      <c r="R700" s="87"/>
      <c r="S700" s="87"/>
      <c r="T700" s="71"/>
      <c r="U700" s="89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  <c r="AM700" s="71"/>
      <c r="AN700" s="71"/>
      <c r="AO700" s="71"/>
    </row>
    <row r="701" spans="1:41" ht="12.75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87"/>
      <c r="Q701" s="87"/>
      <c r="R701" s="87"/>
      <c r="S701" s="87"/>
      <c r="T701" s="71"/>
      <c r="U701" s="89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  <c r="AM701" s="71"/>
      <c r="AN701" s="71"/>
      <c r="AO701" s="71"/>
    </row>
    <row r="702" spans="1:41" ht="12.75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87"/>
      <c r="Q702" s="87"/>
      <c r="R702" s="87"/>
      <c r="S702" s="87"/>
      <c r="T702" s="71"/>
      <c r="U702" s="89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  <c r="AM702" s="71"/>
      <c r="AN702" s="71"/>
      <c r="AO702" s="71"/>
    </row>
    <row r="703" spans="1:41" ht="12.75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87"/>
      <c r="Q703" s="87"/>
      <c r="R703" s="87"/>
      <c r="S703" s="87"/>
      <c r="T703" s="71"/>
      <c r="U703" s="89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  <c r="AM703" s="71"/>
      <c r="AN703" s="71"/>
      <c r="AO703" s="71"/>
    </row>
    <row r="704" spans="1:41" ht="12.75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87"/>
      <c r="Q704" s="87"/>
      <c r="R704" s="87"/>
      <c r="S704" s="87"/>
      <c r="T704" s="71"/>
      <c r="U704" s="89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  <c r="AM704" s="71"/>
      <c r="AN704" s="71"/>
      <c r="AO704" s="71"/>
    </row>
    <row r="705" spans="1:41" ht="12.75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87"/>
      <c r="Q705" s="87"/>
      <c r="R705" s="87"/>
      <c r="S705" s="87"/>
      <c r="T705" s="71"/>
      <c r="U705" s="89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  <c r="AM705" s="71"/>
      <c r="AN705" s="71"/>
      <c r="AO705" s="71"/>
    </row>
    <row r="706" spans="1:41" ht="12.75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87"/>
      <c r="Q706" s="87"/>
      <c r="R706" s="87"/>
      <c r="S706" s="87"/>
      <c r="T706" s="71"/>
      <c r="U706" s="89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  <c r="AM706" s="71"/>
      <c r="AN706" s="71"/>
      <c r="AO706" s="71"/>
    </row>
    <row r="707" spans="1:41" ht="12.75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87"/>
      <c r="Q707" s="87"/>
      <c r="R707" s="87"/>
      <c r="S707" s="87"/>
      <c r="T707" s="71"/>
      <c r="U707" s="89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  <c r="AM707" s="71"/>
      <c r="AN707" s="71"/>
      <c r="AO707" s="71"/>
    </row>
    <row r="708" spans="1:41" ht="12.75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87"/>
      <c r="Q708" s="87"/>
      <c r="R708" s="87"/>
      <c r="S708" s="87"/>
      <c r="T708" s="71"/>
      <c r="U708" s="89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  <c r="AM708" s="71"/>
      <c r="AN708" s="71"/>
      <c r="AO708" s="71"/>
    </row>
    <row r="709" spans="1:41" ht="12.75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87"/>
      <c r="Q709" s="87"/>
      <c r="R709" s="87"/>
      <c r="S709" s="87"/>
      <c r="T709" s="71"/>
      <c r="U709" s="89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  <c r="AM709" s="71"/>
      <c r="AN709" s="71"/>
      <c r="AO709" s="71"/>
    </row>
    <row r="710" spans="1:41" ht="12.75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87"/>
      <c r="Q710" s="87"/>
      <c r="R710" s="87"/>
      <c r="S710" s="87"/>
      <c r="T710" s="71"/>
      <c r="U710" s="89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  <c r="AM710" s="71"/>
      <c r="AN710" s="71"/>
      <c r="AO710" s="71"/>
    </row>
    <row r="711" spans="1:41" ht="12.75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87"/>
      <c r="Q711" s="87"/>
      <c r="R711" s="87"/>
      <c r="S711" s="87"/>
      <c r="T711" s="71"/>
      <c r="U711" s="89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  <c r="AM711" s="71"/>
      <c r="AN711" s="71"/>
      <c r="AO711" s="71"/>
    </row>
    <row r="712" spans="1:41" ht="12.75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87"/>
      <c r="Q712" s="87"/>
      <c r="R712" s="87"/>
      <c r="S712" s="87"/>
      <c r="T712" s="71"/>
      <c r="U712" s="89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  <c r="AM712" s="71"/>
      <c r="AN712" s="71"/>
      <c r="AO712" s="71"/>
    </row>
    <row r="713" spans="1:41" ht="12.75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87"/>
      <c r="Q713" s="87"/>
      <c r="R713" s="87"/>
      <c r="S713" s="87"/>
      <c r="T713" s="71"/>
      <c r="U713" s="89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  <c r="AM713" s="71"/>
      <c r="AN713" s="71"/>
      <c r="AO713" s="71"/>
    </row>
    <row r="714" spans="1:41" ht="12.75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87"/>
      <c r="Q714" s="87"/>
      <c r="R714" s="87"/>
      <c r="S714" s="87"/>
      <c r="T714" s="71"/>
      <c r="U714" s="89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  <c r="AM714" s="71"/>
      <c r="AN714" s="71"/>
      <c r="AO714" s="71"/>
    </row>
    <row r="715" spans="1:41" ht="12.75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87"/>
      <c r="Q715" s="87"/>
      <c r="R715" s="87"/>
      <c r="S715" s="87"/>
      <c r="T715" s="71"/>
      <c r="U715" s="89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  <c r="AM715" s="71"/>
      <c r="AN715" s="71"/>
      <c r="AO715" s="71"/>
    </row>
    <row r="716" spans="1:41" ht="12.75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87"/>
      <c r="Q716" s="87"/>
      <c r="R716" s="87"/>
      <c r="S716" s="87"/>
      <c r="T716" s="71"/>
      <c r="U716" s="89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  <c r="AM716" s="71"/>
      <c r="AN716" s="71"/>
      <c r="AO716" s="71"/>
    </row>
    <row r="717" spans="1:41" ht="12.75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87"/>
      <c r="Q717" s="87"/>
      <c r="R717" s="87"/>
      <c r="S717" s="87"/>
      <c r="T717" s="71"/>
      <c r="U717" s="89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  <c r="AM717" s="71"/>
      <c r="AN717" s="71"/>
      <c r="AO717" s="71"/>
    </row>
    <row r="718" spans="1:41" ht="12.75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87"/>
      <c r="Q718" s="87"/>
      <c r="R718" s="87"/>
      <c r="S718" s="87"/>
      <c r="T718" s="71"/>
      <c r="U718" s="89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  <c r="AM718" s="71"/>
      <c r="AN718" s="71"/>
      <c r="AO718" s="71"/>
    </row>
    <row r="719" spans="1:41" ht="12.75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87"/>
      <c r="Q719" s="87"/>
      <c r="R719" s="87"/>
      <c r="S719" s="87"/>
      <c r="T719" s="71"/>
      <c r="U719" s="89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  <c r="AM719" s="71"/>
      <c r="AN719" s="71"/>
      <c r="AO719" s="71"/>
    </row>
    <row r="720" spans="1:41" ht="12.75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87"/>
      <c r="Q720" s="87"/>
      <c r="R720" s="87"/>
      <c r="S720" s="87"/>
      <c r="T720" s="71"/>
      <c r="U720" s="89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  <c r="AM720" s="71"/>
      <c r="AN720" s="71"/>
      <c r="AO720" s="71"/>
    </row>
    <row r="721" spans="1:41" ht="12.75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87"/>
      <c r="Q721" s="87"/>
      <c r="R721" s="87"/>
      <c r="S721" s="87"/>
      <c r="T721" s="71"/>
      <c r="U721" s="89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  <c r="AM721" s="71"/>
      <c r="AN721" s="71"/>
      <c r="AO721" s="71"/>
    </row>
    <row r="722" spans="1:41" ht="12.75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87"/>
      <c r="Q722" s="87"/>
      <c r="R722" s="87"/>
      <c r="S722" s="87"/>
      <c r="T722" s="71"/>
      <c r="U722" s="89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  <c r="AM722" s="71"/>
      <c r="AN722" s="71"/>
      <c r="AO722" s="71"/>
    </row>
    <row r="723" spans="1:41" ht="12.75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87"/>
      <c r="Q723" s="87"/>
      <c r="R723" s="87"/>
      <c r="S723" s="87"/>
      <c r="T723" s="71"/>
      <c r="U723" s="89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  <c r="AM723" s="71"/>
      <c r="AN723" s="71"/>
      <c r="AO723" s="71"/>
    </row>
    <row r="724" spans="1:41" ht="12.75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87"/>
      <c r="Q724" s="87"/>
      <c r="R724" s="87"/>
      <c r="S724" s="87"/>
      <c r="T724" s="71"/>
      <c r="U724" s="89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  <c r="AM724" s="71"/>
      <c r="AN724" s="71"/>
      <c r="AO724" s="71"/>
    </row>
    <row r="725" spans="1:41" ht="12.75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87"/>
      <c r="Q725" s="87"/>
      <c r="R725" s="87"/>
      <c r="S725" s="87"/>
      <c r="T725" s="71"/>
      <c r="U725" s="89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  <c r="AM725" s="71"/>
      <c r="AN725" s="71"/>
      <c r="AO725" s="71"/>
    </row>
    <row r="726" spans="1:41" ht="12.75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87"/>
      <c r="Q726" s="87"/>
      <c r="R726" s="87"/>
      <c r="S726" s="87"/>
      <c r="T726" s="71"/>
      <c r="U726" s="89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  <c r="AM726" s="71"/>
      <c r="AN726" s="71"/>
      <c r="AO726" s="71"/>
    </row>
    <row r="727" spans="1:41" ht="12.75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87"/>
      <c r="Q727" s="87"/>
      <c r="R727" s="87"/>
      <c r="S727" s="87"/>
      <c r="T727" s="71"/>
      <c r="U727" s="89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  <c r="AM727" s="71"/>
      <c r="AN727" s="71"/>
      <c r="AO727" s="71"/>
    </row>
    <row r="728" spans="1:41" ht="12.75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87"/>
      <c r="Q728" s="87"/>
      <c r="R728" s="87"/>
      <c r="S728" s="87"/>
      <c r="T728" s="71"/>
      <c r="U728" s="89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  <c r="AM728" s="71"/>
      <c r="AN728" s="71"/>
      <c r="AO728" s="71"/>
    </row>
    <row r="729" spans="1:41" ht="12.75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87"/>
      <c r="Q729" s="87"/>
      <c r="R729" s="87"/>
      <c r="S729" s="87"/>
      <c r="T729" s="71"/>
      <c r="U729" s="89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  <c r="AM729" s="71"/>
      <c r="AN729" s="71"/>
      <c r="AO729" s="71"/>
    </row>
    <row r="730" spans="1:41" ht="12.75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87"/>
      <c r="Q730" s="87"/>
      <c r="R730" s="87"/>
      <c r="S730" s="87"/>
      <c r="T730" s="71"/>
      <c r="U730" s="89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  <c r="AM730" s="71"/>
      <c r="AN730" s="71"/>
      <c r="AO730" s="71"/>
    </row>
    <row r="731" spans="1:41" ht="12.75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87"/>
      <c r="Q731" s="87"/>
      <c r="R731" s="87"/>
      <c r="S731" s="87"/>
      <c r="T731" s="71"/>
      <c r="U731" s="89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  <c r="AM731" s="71"/>
      <c r="AN731" s="71"/>
      <c r="AO731" s="71"/>
    </row>
    <row r="732" spans="1:41" ht="12.75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87"/>
      <c r="Q732" s="87"/>
      <c r="R732" s="87"/>
      <c r="S732" s="87"/>
      <c r="T732" s="71"/>
      <c r="U732" s="89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  <c r="AM732" s="71"/>
      <c r="AN732" s="71"/>
      <c r="AO732" s="71"/>
    </row>
    <row r="733" spans="1:41" ht="12.75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87"/>
      <c r="Q733" s="87"/>
      <c r="R733" s="87"/>
      <c r="S733" s="87"/>
      <c r="T733" s="71"/>
      <c r="U733" s="89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  <c r="AM733" s="71"/>
      <c r="AN733" s="71"/>
      <c r="AO733" s="71"/>
    </row>
    <row r="734" spans="1:41" ht="12.75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87"/>
      <c r="Q734" s="87"/>
      <c r="R734" s="87"/>
      <c r="S734" s="87"/>
      <c r="T734" s="71"/>
      <c r="U734" s="89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  <c r="AM734" s="71"/>
      <c r="AN734" s="71"/>
      <c r="AO734" s="71"/>
    </row>
    <row r="735" spans="1:41" ht="12.75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87"/>
      <c r="Q735" s="87"/>
      <c r="R735" s="87"/>
      <c r="S735" s="87"/>
      <c r="T735" s="71"/>
      <c r="U735" s="89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  <c r="AM735" s="71"/>
      <c r="AN735" s="71"/>
      <c r="AO735" s="71"/>
    </row>
    <row r="736" spans="1:41" ht="12.75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87"/>
      <c r="Q736" s="87"/>
      <c r="R736" s="87"/>
      <c r="S736" s="87"/>
      <c r="T736" s="71"/>
      <c r="U736" s="89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  <c r="AM736" s="71"/>
      <c r="AN736" s="71"/>
      <c r="AO736" s="71"/>
    </row>
    <row r="737" spans="1:41" ht="12.75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87"/>
      <c r="Q737" s="87"/>
      <c r="R737" s="87"/>
      <c r="S737" s="87"/>
      <c r="T737" s="71"/>
      <c r="U737" s="89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  <c r="AM737" s="71"/>
      <c r="AN737" s="71"/>
      <c r="AO737" s="71"/>
    </row>
    <row r="738" spans="1:41" ht="12.75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87"/>
      <c r="Q738" s="87"/>
      <c r="R738" s="87"/>
      <c r="S738" s="87"/>
      <c r="T738" s="71"/>
      <c r="U738" s="89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  <c r="AM738" s="71"/>
      <c r="AN738" s="71"/>
      <c r="AO738" s="71"/>
    </row>
    <row r="739" spans="1:41" ht="12.75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87"/>
      <c r="Q739" s="87"/>
      <c r="R739" s="87"/>
      <c r="S739" s="87"/>
      <c r="T739" s="71"/>
      <c r="U739" s="89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  <c r="AM739" s="71"/>
      <c r="AN739" s="71"/>
      <c r="AO739" s="71"/>
    </row>
    <row r="740" spans="1:41" ht="12.75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87"/>
      <c r="Q740" s="87"/>
      <c r="R740" s="87"/>
      <c r="S740" s="87"/>
      <c r="T740" s="71"/>
      <c r="U740" s="89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  <c r="AM740" s="71"/>
      <c r="AN740" s="71"/>
      <c r="AO740" s="71"/>
    </row>
    <row r="741" spans="1:41" ht="12.75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87"/>
      <c r="Q741" s="87"/>
      <c r="R741" s="87"/>
      <c r="S741" s="87"/>
      <c r="T741" s="71"/>
      <c r="U741" s="89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  <c r="AM741" s="71"/>
      <c r="AN741" s="71"/>
      <c r="AO741" s="71"/>
    </row>
    <row r="742" spans="1:41" ht="12.75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87"/>
      <c r="Q742" s="87"/>
      <c r="R742" s="87"/>
      <c r="S742" s="87"/>
      <c r="T742" s="71"/>
      <c r="U742" s="89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  <c r="AM742" s="71"/>
      <c r="AN742" s="71"/>
      <c r="AO742" s="71"/>
    </row>
    <row r="743" spans="1:41" ht="12.75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87"/>
      <c r="Q743" s="87"/>
      <c r="R743" s="87"/>
      <c r="S743" s="87"/>
      <c r="T743" s="71"/>
      <c r="U743" s="89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  <c r="AM743" s="71"/>
      <c r="AN743" s="71"/>
      <c r="AO743" s="71"/>
    </row>
    <row r="744" spans="1:41" ht="12.75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87"/>
      <c r="Q744" s="87"/>
      <c r="R744" s="87"/>
      <c r="S744" s="87"/>
      <c r="T744" s="71"/>
      <c r="U744" s="89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  <c r="AM744" s="71"/>
      <c r="AN744" s="71"/>
      <c r="AO744" s="71"/>
    </row>
    <row r="745" spans="1:41" ht="12.75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87"/>
      <c r="Q745" s="87"/>
      <c r="R745" s="87"/>
      <c r="S745" s="87"/>
      <c r="T745" s="71"/>
      <c r="U745" s="89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  <c r="AM745" s="71"/>
      <c r="AN745" s="71"/>
      <c r="AO745" s="71"/>
    </row>
    <row r="746" spans="1:41" ht="12.75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87"/>
      <c r="Q746" s="87"/>
      <c r="R746" s="87"/>
      <c r="S746" s="87"/>
      <c r="T746" s="71"/>
      <c r="U746" s="89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  <c r="AM746" s="71"/>
      <c r="AN746" s="71"/>
      <c r="AO746" s="71"/>
    </row>
    <row r="747" spans="1:41" ht="12.75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87"/>
      <c r="Q747" s="87"/>
      <c r="R747" s="87"/>
      <c r="S747" s="87"/>
      <c r="T747" s="71"/>
      <c r="U747" s="89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  <c r="AM747" s="71"/>
      <c r="AN747" s="71"/>
      <c r="AO747" s="71"/>
    </row>
    <row r="748" spans="1:41" ht="12.75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87"/>
      <c r="Q748" s="87"/>
      <c r="R748" s="87"/>
      <c r="S748" s="87"/>
      <c r="T748" s="71"/>
      <c r="U748" s="89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  <c r="AM748" s="71"/>
      <c r="AN748" s="71"/>
      <c r="AO748" s="71"/>
    </row>
    <row r="749" spans="1:41" ht="12.75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87"/>
      <c r="Q749" s="87"/>
      <c r="R749" s="87"/>
      <c r="S749" s="87"/>
      <c r="T749" s="71"/>
      <c r="U749" s="89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  <c r="AM749" s="71"/>
      <c r="AN749" s="71"/>
      <c r="AO749" s="71"/>
    </row>
    <row r="750" spans="1:41" ht="12.75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87"/>
      <c r="Q750" s="87"/>
      <c r="R750" s="87"/>
      <c r="S750" s="87"/>
      <c r="T750" s="71"/>
      <c r="U750" s="89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  <c r="AM750" s="71"/>
      <c r="AN750" s="71"/>
      <c r="AO750" s="71"/>
    </row>
    <row r="751" spans="1:41" ht="12.75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87"/>
      <c r="Q751" s="87"/>
      <c r="R751" s="87"/>
      <c r="S751" s="87"/>
      <c r="T751" s="71"/>
      <c r="U751" s="89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  <c r="AM751" s="71"/>
      <c r="AN751" s="71"/>
      <c r="AO751" s="71"/>
    </row>
    <row r="752" spans="1:41" ht="12.75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87"/>
      <c r="Q752" s="87"/>
      <c r="R752" s="87"/>
      <c r="S752" s="87"/>
      <c r="T752" s="71"/>
      <c r="U752" s="89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  <c r="AM752" s="71"/>
      <c r="AN752" s="71"/>
      <c r="AO752" s="71"/>
    </row>
    <row r="753" spans="1:41" ht="12.75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87"/>
      <c r="Q753" s="87"/>
      <c r="R753" s="87"/>
      <c r="S753" s="87"/>
      <c r="T753" s="71"/>
      <c r="U753" s="89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  <c r="AM753" s="71"/>
      <c r="AN753" s="71"/>
      <c r="AO753" s="71"/>
    </row>
    <row r="754" spans="1:41" ht="12.75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87"/>
      <c r="Q754" s="87"/>
      <c r="R754" s="87"/>
      <c r="S754" s="87"/>
      <c r="T754" s="71"/>
      <c r="U754" s="89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  <c r="AM754" s="71"/>
      <c r="AN754" s="71"/>
      <c r="AO754" s="71"/>
    </row>
    <row r="755" spans="1:41" ht="12.75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87"/>
      <c r="Q755" s="87"/>
      <c r="R755" s="87"/>
      <c r="S755" s="87"/>
      <c r="T755" s="71"/>
      <c r="U755" s="89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  <c r="AM755" s="71"/>
      <c r="AN755" s="71"/>
      <c r="AO755" s="71"/>
    </row>
    <row r="756" spans="1:41" ht="12.75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87"/>
      <c r="Q756" s="87"/>
      <c r="R756" s="87"/>
      <c r="S756" s="87"/>
      <c r="T756" s="71"/>
      <c r="U756" s="89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  <c r="AM756" s="71"/>
      <c r="AN756" s="71"/>
      <c r="AO756" s="71"/>
    </row>
    <row r="757" spans="1:41" ht="12.75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87"/>
      <c r="Q757" s="87"/>
      <c r="R757" s="87"/>
      <c r="S757" s="87"/>
      <c r="T757" s="71"/>
      <c r="U757" s="89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  <c r="AM757" s="71"/>
      <c r="AN757" s="71"/>
      <c r="AO757" s="71"/>
    </row>
    <row r="758" spans="1:41" ht="12.75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87"/>
      <c r="Q758" s="87"/>
      <c r="R758" s="87"/>
      <c r="S758" s="87"/>
      <c r="T758" s="71"/>
      <c r="U758" s="89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  <c r="AM758" s="71"/>
      <c r="AN758" s="71"/>
      <c r="AO758" s="71"/>
    </row>
    <row r="759" spans="1:41" ht="12.75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87"/>
      <c r="Q759" s="87"/>
      <c r="R759" s="87"/>
      <c r="S759" s="87"/>
      <c r="T759" s="71"/>
      <c r="U759" s="89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  <c r="AM759" s="71"/>
      <c r="AN759" s="71"/>
      <c r="AO759" s="71"/>
    </row>
    <row r="760" spans="1:41" ht="12.75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87"/>
      <c r="Q760" s="87"/>
      <c r="R760" s="87"/>
      <c r="S760" s="87"/>
      <c r="T760" s="71"/>
      <c r="U760" s="89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  <c r="AM760" s="71"/>
      <c r="AN760" s="71"/>
      <c r="AO760" s="71"/>
    </row>
    <row r="761" spans="1:41" ht="12.75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87"/>
      <c r="Q761" s="87"/>
      <c r="R761" s="87"/>
      <c r="S761" s="87"/>
      <c r="T761" s="71"/>
      <c r="U761" s="89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  <c r="AM761" s="71"/>
      <c r="AN761" s="71"/>
      <c r="AO761" s="71"/>
    </row>
    <row r="762" spans="1:41" ht="12.75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87"/>
      <c r="Q762" s="87"/>
      <c r="R762" s="87"/>
      <c r="S762" s="87"/>
      <c r="T762" s="71"/>
      <c r="U762" s="89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  <c r="AM762" s="71"/>
      <c r="AN762" s="71"/>
      <c r="AO762" s="71"/>
    </row>
    <row r="763" spans="1:41" ht="12.75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87"/>
      <c r="Q763" s="87"/>
      <c r="R763" s="87"/>
      <c r="S763" s="87"/>
      <c r="T763" s="71"/>
      <c r="U763" s="89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  <c r="AM763" s="71"/>
      <c r="AN763" s="71"/>
      <c r="AO763" s="71"/>
    </row>
    <row r="764" spans="1:41" ht="12.75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87"/>
      <c r="Q764" s="87"/>
      <c r="R764" s="87"/>
      <c r="S764" s="87"/>
      <c r="T764" s="71"/>
      <c r="U764" s="89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  <c r="AM764" s="71"/>
      <c r="AN764" s="71"/>
      <c r="AO764" s="71"/>
    </row>
    <row r="765" spans="1:41" ht="12.75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87"/>
      <c r="Q765" s="87"/>
      <c r="R765" s="87"/>
      <c r="S765" s="87"/>
      <c r="T765" s="71"/>
      <c r="U765" s="89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  <c r="AM765" s="71"/>
      <c r="AN765" s="71"/>
      <c r="AO765" s="71"/>
    </row>
    <row r="766" spans="1:41" ht="12.75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87"/>
      <c r="Q766" s="87"/>
      <c r="R766" s="87"/>
      <c r="S766" s="87"/>
      <c r="T766" s="71"/>
      <c r="U766" s="89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  <c r="AM766" s="71"/>
      <c r="AN766" s="71"/>
      <c r="AO766" s="71"/>
    </row>
    <row r="767" spans="1:41" ht="12.75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87"/>
      <c r="Q767" s="87"/>
      <c r="R767" s="87"/>
      <c r="S767" s="87"/>
      <c r="T767" s="71"/>
      <c r="U767" s="89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  <c r="AM767" s="71"/>
      <c r="AN767" s="71"/>
      <c r="AO767" s="71"/>
    </row>
    <row r="768" spans="1:41" ht="12.75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87"/>
      <c r="Q768" s="87"/>
      <c r="R768" s="87"/>
      <c r="S768" s="87"/>
      <c r="T768" s="71"/>
      <c r="U768" s="89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  <c r="AM768" s="71"/>
      <c r="AN768" s="71"/>
      <c r="AO768" s="71"/>
    </row>
    <row r="769" spans="1:41" ht="12.75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87"/>
      <c r="Q769" s="87"/>
      <c r="R769" s="87"/>
      <c r="S769" s="87"/>
      <c r="T769" s="71"/>
      <c r="U769" s="89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  <c r="AM769" s="71"/>
      <c r="AN769" s="71"/>
      <c r="AO769" s="71"/>
    </row>
    <row r="770" spans="1:41" ht="12.75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87"/>
      <c r="Q770" s="87"/>
      <c r="R770" s="87"/>
      <c r="S770" s="87"/>
      <c r="T770" s="71"/>
      <c r="U770" s="89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  <c r="AM770" s="71"/>
      <c r="AN770" s="71"/>
      <c r="AO770" s="71"/>
    </row>
    <row r="771" spans="1:41" ht="12.75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87"/>
      <c r="Q771" s="87"/>
      <c r="R771" s="87"/>
      <c r="S771" s="87"/>
      <c r="T771" s="71"/>
      <c r="U771" s="89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  <c r="AM771" s="71"/>
      <c r="AN771" s="71"/>
      <c r="AO771" s="71"/>
    </row>
    <row r="772" spans="1:41" ht="12.75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87"/>
      <c r="Q772" s="87"/>
      <c r="R772" s="87"/>
      <c r="S772" s="87"/>
      <c r="T772" s="71"/>
      <c r="U772" s="89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  <c r="AM772" s="71"/>
      <c r="AN772" s="71"/>
      <c r="AO772" s="71"/>
    </row>
    <row r="773" spans="1:41" ht="12.75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87"/>
      <c r="Q773" s="87"/>
      <c r="R773" s="87"/>
      <c r="S773" s="87"/>
      <c r="T773" s="71"/>
      <c r="U773" s="89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  <c r="AM773" s="71"/>
      <c r="AN773" s="71"/>
      <c r="AO773" s="71"/>
    </row>
    <row r="774" spans="1:41" ht="12.75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87"/>
      <c r="Q774" s="87"/>
      <c r="R774" s="87"/>
      <c r="S774" s="87"/>
      <c r="T774" s="71"/>
      <c r="U774" s="89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  <c r="AM774" s="71"/>
      <c r="AN774" s="71"/>
      <c r="AO774" s="71"/>
    </row>
    <row r="775" spans="1:41" ht="12.75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87"/>
      <c r="Q775" s="87"/>
      <c r="R775" s="87"/>
      <c r="S775" s="87"/>
      <c r="T775" s="71"/>
      <c r="U775" s="89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  <c r="AM775" s="71"/>
      <c r="AN775" s="71"/>
      <c r="AO775" s="71"/>
    </row>
    <row r="776" spans="1:41" ht="12.75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87"/>
      <c r="Q776" s="87"/>
      <c r="R776" s="87"/>
      <c r="S776" s="87"/>
      <c r="T776" s="71"/>
      <c r="U776" s="89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  <c r="AM776" s="71"/>
      <c r="AN776" s="71"/>
      <c r="AO776" s="71"/>
    </row>
    <row r="777" spans="1:41" ht="12.75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87"/>
      <c r="Q777" s="87"/>
      <c r="R777" s="87"/>
      <c r="S777" s="87"/>
      <c r="T777" s="71"/>
      <c r="U777" s="89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  <c r="AM777" s="71"/>
      <c r="AN777" s="71"/>
      <c r="AO777" s="71"/>
    </row>
    <row r="778" spans="1:41" ht="12.75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87"/>
      <c r="Q778" s="87"/>
      <c r="R778" s="87"/>
      <c r="S778" s="87"/>
      <c r="T778" s="71"/>
      <c r="U778" s="89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  <c r="AM778" s="71"/>
      <c r="AN778" s="71"/>
      <c r="AO778" s="71"/>
    </row>
    <row r="779" spans="1:41" ht="12.75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87"/>
      <c r="Q779" s="87"/>
      <c r="R779" s="87"/>
      <c r="S779" s="87"/>
      <c r="T779" s="71"/>
      <c r="U779" s="89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  <c r="AM779" s="71"/>
      <c r="AN779" s="71"/>
      <c r="AO779" s="71"/>
    </row>
    <row r="780" spans="1:41" ht="12.75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87"/>
      <c r="Q780" s="87"/>
      <c r="R780" s="87"/>
      <c r="S780" s="87"/>
      <c r="T780" s="71"/>
      <c r="U780" s="89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  <c r="AM780" s="71"/>
      <c r="AN780" s="71"/>
      <c r="AO780" s="71"/>
    </row>
    <row r="781" spans="1:41" ht="12.75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87"/>
      <c r="Q781" s="87"/>
      <c r="R781" s="87"/>
      <c r="S781" s="87"/>
      <c r="T781" s="71"/>
      <c r="U781" s="89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  <c r="AM781" s="71"/>
      <c r="AN781" s="71"/>
      <c r="AO781" s="71"/>
    </row>
    <row r="782" spans="1:41" ht="12.75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87"/>
      <c r="Q782" s="87"/>
      <c r="R782" s="87"/>
      <c r="S782" s="87"/>
      <c r="T782" s="71"/>
      <c r="U782" s="89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  <c r="AM782" s="71"/>
      <c r="AN782" s="71"/>
      <c r="AO782" s="71"/>
    </row>
    <row r="783" spans="1:41" ht="12.75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87"/>
      <c r="Q783" s="87"/>
      <c r="R783" s="87"/>
      <c r="S783" s="87"/>
      <c r="T783" s="71"/>
      <c r="U783" s="89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  <c r="AM783" s="71"/>
      <c r="AN783" s="71"/>
      <c r="AO783" s="71"/>
    </row>
    <row r="784" spans="1:41" ht="12.75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87"/>
      <c r="Q784" s="87"/>
      <c r="R784" s="87"/>
      <c r="S784" s="87"/>
      <c r="T784" s="71"/>
      <c r="U784" s="89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  <c r="AM784" s="71"/>
      <c r="AN784" s="71"/>
      <c r="AO784" s="71"/>
    </row>
    <row r="785" spans="1:41" ht="12.75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87"/>
      <c r="Q785" s="87"/>
      <c r="R785" s="87"/>
      <c r="S785" s="87"/>
      <c r="T785" s="71"/>
      <c r="U785" s="89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  <c r="AM785" s="71"/>
      <c r="AN785" s="71"/>
      <c r="AO785" s="71"/>
    </row>
    <row r="786" spans="1:41" ht="12.75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87"/>
      <c r="Q786" s="87"/>
      <c r="R786" s="87"/>
      <c r="S786" s="87"/>
      <c r="T786" s="71"/>
      <c r="U786" s="89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  <c r="AM786" s="71"/>
      <c r="AN786" s="71"/>
      <c r="AO786" s="71"/>
    </row>
    <row r="787" spans="1:41" ht="12.75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87"/>
      <c r="Q787" s="87"/>
      <c r="R787" s="87"/>
      <c r="S787" s="87"/>
      <c r="T787" s="71"/>
      <c r="U787" s="89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  <c r="AM787" s="71"/>
      <c r="AN787" s="71"/>
      <c r="AO787" s="71"/>
    </row>
    <row r="788" spans="1:41" ht="12.75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87"/>
      <c r="Q788" s="87"/>
      <c r="R788" s="87"/>
      <c r="S788" s="87"/>
      <c r="T788" s="71"/>
      <c r="U788" s="89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  <c r="AM788" s="71"/>
      <c r="AN788" s="71"/>
      <c r="AO788" s="71"/>
    </row>
    <row r="789" spans="1:41" ht="12.75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87"/>
      <c r="Q789" s="87"/>
      <c r="R789" s="87"/>
      <c r="S789" s="87"/>
      <c r="T789" s="71"/>
      <c r="U789" s="89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  <c r="AM789" s="71"/>
      <c r="AN789" s="71"/>
      <c r="AO789" s="71"/>
    </row>
    <row r="790" spans="1:41" ht="12.75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87"/>
      <c r="Q790" s="87"/>
      <c r="R790" s="87"/>
      <c r="S790" s="87"/>
      <c r="T790" s="71"/>
      <c r="U790" s="89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  <c r="AM790" s="71"/>
      <c r="AN790" s="71"/>
      <c r="AO790" s="71"/>
    </row>
    <row r="791" spans="1:41" ht="12.75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87"/>
      <c r="Q791" s="87"/>
      <c r="R791" s="87"/>
      <c r="S791" s="87"/>
      <c r="T791" s="71"/>
      <c r="U791" s="89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  <c r="AM791" s="71"/>
      <c r="AN791" s="71"/>
      <c r="AO791" s="71"/>
    </row>
    <row r="792" spans="1:41" ht="12.75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87"/>
      <c r="Q792" s="87"/>
      <c r="R792" s="87"/>
      <c r="S792" s="87"/>
      <c r="T792" s="71"/>
      <c r="U792" s="89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  <c r="AM792" s="71"/>
      <c r="AN792" s="71"/>
      <c r="AO792" s="71"/>
    </row>
    <row r="793" spans="1:41" ht="12.75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87"/>
      <c r="Q793" s="87"/>
      <c r="R793" s="87"/>
      <c r="S793" s="87"/>
      <c r="T793" s="71"/>
      <c r="U793" s="89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  <c r="AM793" s="71"/>
      <c r="AN793" s="71"/>
      <c r="AO793" s="71"/>
    </row>
    <row r="794" spans="1:41" ht="12.75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87"/>
      <c r="Q794" s="87"/>
      <c r="R794" s="87"/>
      <c r="S794" s="87"/>
      <c r="T794" s="71"/>
      <c r="U794" s="89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  <c r="AM794" s="71"/>
      <c r="AN794" s="71"/>
      <c r="AO794" s="71"/>
    </row>
    <row r="795" spans="1:41" ht="12.75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87"/>
      <c r="Q795" s="87"/>
      <c r="R795" s="87"/>
      <c r="S795" s="87"/>
      <c r="T795" s="71"/>
      <c r="U795" s="89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  <c r="AM795" s="71"/>
      <c r="AN795" s="71"/>
      <c r="AO795" s="71"/>
    </row>
    <row r="796" spans="1:41" ht="12.75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87"/>
      <c r="Q796" s="87"/>
      <c r="R796" s="87"/>
      <c r="S796" s="87"/>
      <c r="T796" s="71"/>
      <c r="U796" s="89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  <c r="AM796" s="71"/>
      <c r="AN796" s="71"/>
      <c r="AO796" s="71"/>
    </row>
    <row r="797" spans="1:41" ht="12.75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87"/>
      <c r="Q797" s="87"/>
      <c r="R797" s="87"/>
      <c r="S797" s="87"/>
      <c r="T797" s="71"/>
      <c r="U797" s="89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  <c r="AM797" s="71"/>
      <c r="AN797" s="71"/>
      <c r="AO797" s="71"/>
    </row>
    <row r="798" spans="1:41" ht="12.75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87"/>
      <c r="Q798" s="87"/>
      <c r="R798" s="87"/>
      <c r="S798" s="87"/>
      <c r="T798" s="71"/>
      <c r="U798" s="89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  <c r="AM798" s="71"/>
      <c r="AN798" s="71"/>
      <c r="AO798" s="71"/>
    </row>
    <row r="799" spans="1:41" ht="12.75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87"/>
      <c r="Q799" s="87"/>
      <c r="R799" s="87"/>
      <c r="S799" s="87"/>
      <c r="T799" s="71"/>
      <c r="U799" s="89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  <c r="AM799" s="71"/>
      <c r="AN799" s="71"/>
      <c r="AO799" s="71"/>
    </row>
    <row r="800" spans="1:41" ht="12.75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87"/>
      <c r="Q800" s="87"/>
      <c r="R800" s="87"/>
      <c r="S800" s="87"/>
      <c r="T800" s="71"/>
      <c r="U800" s="89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  <c r="AM800" s="71"/>
      <c r="AN800" s="71"/>
      <c r="AO800" s="71"/>
    </row>
    <row r="801" spans="1:41" ht="12.75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87"/>
      <c r="Q801" s="87"/>
      <c r="R801" s="87"/>
      <c r="S801" s="87"/>
      <c r="T801" s="71"/>
      <c r="U801" s="89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  <c r="AM801" s="71"/>
      <c r="AN801" s="71"/>
      <c r="AO801" s="71"/>
    </row>
    <row r="802" spans="1:41" ht="12.75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87"/>
      <c r="Q802" s="87"/>
      <c r="R802" s="87"/>
      <c r="S802" s="87"/>
      <c r="T802" s="71"/>
      <c r="U802" s="89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  <c r="AM802" s="71"/>
      <c r="AN802" s="71"/>
      <c r="AO802" s="71"/>
    </row>
    <row r="803" spans="1:41" ht="12.75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87"/>
      <c r="Q803" s="87"/>
      <c r="R803" s="87"/>
      <c r="S803" s="87"/>
      <c r="T803" s="71"/>
      <c r="U803" s="89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  <c r="AM803" s="71"/>
      <c r="AN803" s="71"/>
      <c r="AO803" s="71"/>
    </row>
    <row r="804" spans="1:41" ht="12.75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87"/>
      <c r="Q804" s="87"/>
      <c r="R804" s="87"/>
      <c r="S804" s="87"/>
      <c r="T804" s="71"/>
      <c r="U804" s="89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  <c r="AM804" s="71"/>
      <c r="AN804" s="71"/>
      <c r="AO804" s="71"/>
    </row>
    <row r="805" spans="1:41" ht="12.75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87"/>
      <c r="Q805" s="87"/>
      <c r="R805" s="87"/>
      <c r="S805" s="87"/>
      <c r="T805" s="71"/>
      <c r="U805" s="89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  <c r="AM805" s="71"/>
      <c r="AN805" s="71"/>
      <c r="AO805" s="71"/>
    </row>
    <row r="806" spans="1:41" ht="12.75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87"/>
      <c r="Q806" s="87"/>
      <c r="R806" s="87"/>
      <c r="S806" s="87"/>
      <c r="T806" s="71"/>
      <c r="U806" s="89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  <c r="AM806" s="71"/>
      <c r="AN806" s="71"/>
      <c r="AO806" s="71"/>
    </row>
    <row r="807" spans="1:41" ht="12.75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87"/>
      <c r="Q807" s="87"/>
      <c r="R807" s="87"/>
      <c r="S807" s="87"/>
      <c r="T807" s="71"/>
      <c r="U807" s="89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  <c r="AM807" s="71"/>
      <c r="AN807" s="71"/>
      <c r="AO807" s="71"/>
    </row>
    <row r="808" spans="1:41" ht="12.75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87"/>
      <c r="Q808" s="87"/>
      <c r="R808" s="87"/>
      <c r="S808" s="87"/>
      <c r="T808" s="71"/>
      <c r="U808" s="89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  <c r="AM808" s="71"/>
      <c r="AN808" s="71"/>
      <c r="AO808" s="71"/>
    </row>
    <row r="809" spans="1:41" ht="12.75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87"/>
      <c r="Q809" s="87"/>
      <c r="R809" s="87"/>
      <c r="S809" s="87"/>
      <c r="T809" s="71"/>
      <c r="U809" s="89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  <c r="AM809" s="71"/>
      <c r="AN809" s="71"/>
      <c r="AO809" s="71"/>
    </row>
    <row r="810" spans="1:41" ht="12.75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87"/>
      <c r="Q810" s="87"/>
      <c r="R810" s="87"/>
      <c r="S810" s="87"/>
      <c r="T810" s="71"/>
      <c r="U810" s="89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  <c r="AM810" s="71"/>
      <c r="AN810" s="71"/>
      <c r="AO810" s="71"/>
    </row>
    <row r="811" spans="1:41" ht="12.75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87"/>
      <c r="Q811" s="87"/>
      <c r="R811" s="87"/>
      <c r="S811" s="87"/>
      <c r="T811" s="71"/>
      <c r="U811" s="89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  <c r="AM811" s="71"/>
      <c r="AN811" s="71"/>
      <c r="AO811" s="71"/>
    </row>
    <row r="812" spans="1:41" ht="12.75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87"/>
      <c r="Q812" s="87"/>
      <c r="R812" s="87"/>
      <c r="S812" s="87"/>
      <c r="T812" s="71"/>
      <c r="U812" s="89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  <c r="AM812" s="71"/>
      <c r="AN812" s="71"/>
      <c r="AO812" s="71"/>
    </row>
    <row r="813" spans="1:41" ht="12.75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87"/>
      <c r="Q813" s="87"/>
      <c r="R813" s="87"/>
      <c r="S813" s="87"/>
      <c r="T813" s="71"/>
      <c r="U813" s="89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  <c r="AM813" s="71"/>
      <c r="AN813" s="71"/>
      <c r="AO813" s="71"/>
    </row>
    <row r="814" spans="1:41" ht="12.75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87"/>
      <c r="Q814" s="87"/>
      <c r="R814" s="87"/>
      <c r="S814" s="87"/>
      <c r="T814" s="71"/>
      <c r="U814" s="89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  <c r="AM814" s="71"/>
      <c r="AN814" s="71"/>
      <c r="AO814" s="71"/>
    </row>
    <row r="815" spans="1:41" ht="12.75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87"/>
      <c r="Q815" s="87"/>
      <c r="R815" s="87"/>
      <c r="S815" s="87"/>
      <c r="T815" s="71"/>
      <c r="U815" s="89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  <c r="AM815" s="71"/>
      <c r="AN815" s="71"/>
      <c r="AO815" s="71"/>
    </row>
    <row r="816" spans="1:41" ht="12.75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87"/>
      <c r="Q816" s="87"/>
      <c r="R816" s="87"/>
      <c r="S816" s="87"/>
      <c r="T816" s="71"/>
      <c r="U816" s="89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  <c r="AM816" s="71"/>
      <c r="AN816" s="71"/>
      <c r="AO816" s="71"/>
    </row>
    <row r="817" spans="1:41" ht="12.75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87"/>
      <c r="Q817" s="87"/>
      <c r="R817" s="87"/>
      <c r="S817" s="87"/>
      <c r="T817" s="71"/>
      <c r="U817" s="89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  <c r="AM817" s="71"/>
      <c r="AN817" s="71"/>
      <c r="AO817" s="71"/>
    </row>
    <row r="818" spans="1:41" ht="12.75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87"/>
      <c r="Q818" s="87"/>
      <c r="R818" s="87"/>
      <c r="S818" s="87"/>
      <c r="T818" s="71"/>
      <c r="U818" s="89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  <c r="AM818" s="71"/>
      <c r="AN818" s="71"/>
      <c r="AO818" s="71"/>
    </row>
    <row r="819" spans="1:41" ht="12.75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87"/>
      <c r="Q819" s="87"/>
      <c r="R819" s="87"/>
      <c r="S819" s="87"/>
      <c r="T819" s="71"/>
      <c r="U819" s="89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  <c r="AM819" s="71"/>
      <c r="AN819" s="71"/>
      <c r="AO819" s="71"/>
    </row>
    <row r="820" spans="1:41" ht="12.75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87"/>
      <c r="Q820" s="87"/>
      <c r="R820" s="87"/>
      <c r="S820" s="87"/>
      <c r="T820" s="71"/>
      <c r="U820" s="89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  <c r="AM820" s="71"/>
      <c r="AN820" s="71"/>
      <c r="AO820" s="71"/>
    </row>
    <row r="821" spans="1:41" ht="12.75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87"/>
      <c r="Q821" s="87"/>
      <c r="R821" s="87"/>
      <c r="S821" s="87"/>
      <c r="T821" s="71"/>
      <c r="U821" s="89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  <c r="AM821" s="71"/>
      <c r="AN821" s="71"/>
      <c r="AO821" s="71"/>
    </row>
    <row r="822" spans="1:41" ht="12.75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87"/>
      <c r="Q822" s="87"/>
      <c r="R822" s="87"/>
      <c r="S822" s="87"/>
      <c r="T822" s="71"/>
      <c r="U822" s="89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  <c r="AM822" s="71"/>
      <c r="AN822" s="71"/>
      <c r="AO822" s="71"/>
    </row>
    <row r="823" spans="1:41" ht="12.75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87"/>
      <c r="Q823" s="87"/>
      <c r="R823" s="87"/>
      <c r="S823" s="87"/>
      <c r="T823" s="71"/>
      <c r="U823" s="89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  <c r="AM823" s="71"/>
      <c r="AN823" s="71"/>
      <c r="AO823" s="71"/>
    </row>
    <row r="824" spans="1:41" ht="12.75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87"/>
      <c r="Q824" s="87"/>
      <c r="R824" s="87"/>
      <c r="S824" s="87"/>
      <c r="T824" s="71"/>
      <c r="U824" s="89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  <c r="AM824" s="71"/>
      <c r="AN824" s="71"/>
      <c r="AO824" s="71"/>
    </row>
    <row r="825" spans="1:41" ht="12.75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87"/>
      <c r="Q825" s="87"/>
      <c r="R825" s="87"/>
      <c r="S825" s="87"/>
      <c r="T825" s="71"/>
      <c r="U825" s="89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  <c r="AM825" s="71"/>
      <c r="AN825" s="71"/>
      <c r="AO825" s="71"/>
    </row>
    <row r="826" spans="1:41" ht="12.75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87"/>
      <c r="Q826" s="87"/>
      <c r="R826" s="87"/>
      <c r="S826" s="87"/>
      <c r="T826" s="71"/>
      <c r="U826" s="89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  <c r="AM826" s="71"/>
      <c r="AN826" s="71"/>
      <c r="AO826" s="71"/>
    </row>
    <row r="827" spans="1:41" ht="12.75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87"/>
      <c r="Q827" s="87"/>
      <c r="R827" s="87"/>
      <c r="S827" s="87"/>
      <c r="T827" s="71"/>
      <c r="U827" s="89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  <c r="AM827" s="71"/>
      <c r="AN827" s="71"/>
      <c r="AO827" s="71"/>
    </row>
    <row r="828" spans="1:41" ht="12.75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87"/>
      <c r="Q828" s="87"/>
      <c r="R828" s="87"/>
      <c r="S828" s="87"/>
      <c r="T828" s="71"/>
      <c r="U828" s="89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  <c r="AM828" s="71"/>
      <c r="AN828" s="71"/>
      <c r="AO828" s="71"/>
    </row>
    <row r="829" spans="1:41" ht="12.75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87"/>
      <c r="Q829" s="87"/>
      <c r="R829" s="87"/>
      <c r="S829" s="87"/>
      <c r="T829" s="71"/>
      <c r="U829" s="89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  <c r="AM829" s="71"/>
      <c r="AN829" s="71"/>
      <c r="AO829" s="71"/>
    </row>
    <row r="830" spans="1:41" ht="12.75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87"/>
      <c r="Q830" s="87"/>
      <c r="R830" s="87"/>
      <c r="S830" s="87"/>
      <c r="T830" s="71"/>
      <c r="U830" s="89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  <c r="AM830" s="71"/>
      <c r="AN830" s="71"/>
      <c r="AO830" s="71"/>
    </row>
    <row r="831" spans="1:41" ht="12.75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87"/>
      <c r="Q831" s="87"/>
      <c r="R831" s="87"/>
      <c r="S831" s="87"/>
      <c r="T831" s="71"/>
      <c r="U831" s="89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  <c r="AM831" s="71"/>
      <c r="AN831" s="71"/>
      <c r="AO831" s="71"/>
    </row>
    <row r="832" spans="1:41" ht="12.75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87"/>
      <c r="Q832" s="87"/>
      <c r="R832" s="87"/>
      <c r="S832" s="87"/>
      <c r="T832" s="71"/>
      <c r="U832" s="89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  <c r="AM832" s="71"/>
      <c r="AN832" s="71"/>
      <c r="AO832" s="71"/>
    </row>
    <row r="833" spans="1:41" ht="12.75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87"/>
      <c r="Q833" s="87"/>
      <c r="R833" s="87"/>
      <c r="S833" s="87"/>
      <c r="T833" s="71"/>
      <c r="U833" s="89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  <c r="AM833" s="71"/>
      <c r="AN833" s="71"/>
      <c r="AO833" s="71"/>
    </row>
    <row r="834" spans="1:41" ht="12.75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87"/>
      <c r="Q834" s="87"/>
      <c r="R834" s="87"/>
      <c r="S834" s="87"/>
      <c r="T834" s="71"/>
      <c r="U834" s="89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  <c r="AM834" s="71"/>
      <c r="AN834" s="71"/>
      <c r="AO834" s="71"/>
    </row>
    <row r="835" spans="1:41" ht="12.75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87"/>
      <c r="Q835" s="87"/>
      <c r="R835" s="87"/>
      <c r="S835" s="87"/>
      <c r="T835" s="71"/>
      <c r="U835" s="89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  <c r="AM835" s="71"/>
      <c r="AN835" s="71"/>
      <c r="AO835" s="71"/>
    </row>
    <row r="836" spans="1:41" ht="12.75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87"/>
      <c r="Q836" s="87"/>
      <c r="R836" s="87"/>
      <c r="S836" s="87"/>
      <c r="T836" s="71"/>
      <c r="U836" s="89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  <c r="AM836" s="71"/>
      <c r="AN836" s="71"/>
      <c r="AO836" s="71"/>
    </row>
    <row r="837" spans="1:41" ht="12.75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87"/>
      <c r="Q837" s="87"/>
      <c r="R837" s="87"/>
      <c r="S837" s="87"/>
      <c r="T837" s="71"/>
      <c r="U837" s="89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  <c r="AM837" s="71"/>
      <c r="AN837" s="71"/>
      <c r="AO837" s="71"/>
    </row>
    <row r="838" spans="1:41" ht="12.75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87"/>
      <c r="Q838" s="87"/>
      <c r="R838" s="87"/>
      <c r="S838" s="87"/>
      <c r="T838" s="71"/>
      <c r="U838" s="89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  <c r="AM838" s="71"/>
      <c r="AN838" s="71"/>
      <c r="AO838" s="71"/>
    </row>
    <row r="839" spans="1:41" ht="12.75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87"/>
      <c r="Q839" s="87"/>
      <c r="R839" s="87"/>
      <c r="S839" s="87"/>
      <c r="T839" s="71"/>
      <c r="U839" s="89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  <c r="AM839" s="71"/>
      <c r="AN839" s="71"/>
      <c r="AO839" s="71"/>
    </row>
    <row r="840" spans="1:41" ht="12.75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87"/>
      <c r="Q840" s="87"/>
      <c r="R840" s="87"/>
      <c r="S840" s="87"/>
      <c r="T840" s="71"/>
      <c r="U840" s="89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  <c r="AM840" s="71"/>
      <c r="AN840" s="71"/>
      <c r="AO840" s="71"/>
    </row>
    <row r="841" spans="1:41" ht="12.75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87"/>
      <c r="Q841" s="87"/>
      <c r="R841" s="87"/>
      <c r="S841" s="87"/>
      <c r="T841" s="71"/>
      <c r="U841" s="89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  <c r="AM841" s="71"/>
      <c r="AN841" s="71"/>
      <c r="AO841" s="71"/>
    </row>
    <row r="842" spans="1:41" ht="12.75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87"/>
      <c r="Q842" s="87"/>
      <c r="R842" s="87"/>
      <c r="S842" s="87"/>
      <c r="T842" s="71"/>
      <c r="U842" s="89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  <c r="AM842" s="71"/>
      <c r="AN842" s="71"/>
      <c r="AO842" s="71"/>
    </row>
    <row r="843" spans="1:41" ht="12.75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87"/>
      <c r="Q843" s="87"/>
      <c r="R843" s="87"/>
      <c r="S843" s="87"/>
      <c r="T843" s="71"/>
      <c r="U843" s="89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  <c r="AM843" s="71"/>
      <c r="AN843" s="71"/>
      <c r="AO843" s="71"/>
    </row>
    <row r="844" spans="1:41" ht="12.75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87"/>
      <c r="Q844" s="87"/>
      <c r="R844" s="87"/>
      <c r="S844" s="87"/>
      <c r="T844" s="71"/>
      <c r="U844" s="89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  <c r="AM844" s="71"/>
      <c r="AN844" s="71"/>
      <c r="AO844" s="71"/>
    </row>
    <row r="845" spans="1:41" ht="12.75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87"/>
      <c r="Q845" s="87"/>
      <c r="R845" s="87"/>
      <c r="S845" s="87"/>
      <c r="T845" s="71"/>
      <c r="U845" s="89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  <c r="AM845" s="71"/>
      <c r="AN845" s="71"/>
      <c r="AO845" s="71"/>
    </row>
    <row r="846" spans="1:41" ht="12.75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87"/>
      <c r="Q846" s="87"/>
      <c r="R846" s="87"/>
      <c r="S846" s="87"/>
      <c r="T846" s="71"/>
      <c r="U846" s="89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  <c r="AM846" s="71"/>
      <c r="AN846" s="71"/>
      <c r="AO846" s="71"/>
    </row>
    <row r="847" spans="1:41" ht="12.75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87"/>
      <c r="Q847" s="87"/>
      <c r="R847" s="87"/>
      <c r="S847" s="87"/>
      <c r="T847" s="71"/>
      <c r="U847" s="89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  <c r="AM847" s="71"/>
      <c r="AN847" s="71"/>
      <c r="AO847" s="71"/>
    </row>
    <row r="848" spans="1:41" ht="12.75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87"/>
      <c r="Q848" s="87"/>
      <c r="R848" s="87"/>
      <c r="S848" s="87"/>
      <c r="T848" s="71"/>
      <c r="U848" s="89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  <c r="AM848" s="71"/>
      <c r="AN848" s="71"/>
      <c r="AO848" s="71"/>
    </row>
    <row r="849" spans="1:41" ht="12.75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87"/>
      <c r="Q849" s="87"/>
      <c r="R849" s="87"/>
      <c r="S849" s="87"/>
      <c r="T849" s="71"/>
      <c r="U849" s="89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  <c r="AM849" s="71"/>
      <c r="AN849" s="71"/>
      <c r="AO849" s="71"/>
    </row>
    <row r="850" spans="1:41" ht="12.75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87"/>
      <c r="Q850" s="87"/>
      <c r="R850" s="87"/>
      <c r="S850" s="87"/>
      <c r="T850" s="71"/>
      <c r="U850" s="89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  <c r="AM850" s="71"/>
      <c r="AN850" s="71"/>
      <c r="AO850" s="71"/>
    </row>
    <row r="851" spans="1:41" ht="12.75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87"/>
      <c r="Q851" s="87"/>
      <c r="R851" s="87"/>
      <c r="S851" s="87"/>
      <c r="T851" s="71"/>
      <c r="U851" s="89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  <c r="AM851" s="71"/>
      <c r="AN851" s="71"/>
      <c r="AO851" s="71"/>
    </row>
    <row r="852" spans="1:41" ht="12.75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87"/>
      <c r="Q852" s="87"/>
      <c r="R852" s="87"/>
      <c r="S852" s="87"/>
      <c r="T852" s="71"/>
      <c r="U852" s="89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  <c r="AM852" s="71"/>
      <c r="AN852" s="71"/>
      <c r="AO852" s="71"/>
    </row>
    <row r="853" spans="1:41" ht="12.75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87"/>
      <c r="Q853" s="87"/>
      <c r="R853" s="87"/>
      <c r="S853" s="87"/>
      <c r="T853" s="71"/>
      <c r="U853" s="89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  <c r="AM853" s="71"/>
      <c r="AN853" s="71"/>
      <c r="AO853" s="71"/>
    </row>
    <row r="854" spans="1:41" ht="12.75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87"/>
      <c r="Q854" s="87"/>
      <c r="R854" s="87"/>
      <c r="S854" s="87"/>
      <c r="T854" s="71"/>
      <c r="U854" s="89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  <c r="AM854" s="71"/>
      <c r="AN854" s="71"/>
      <c r="AO854" s="71"/>
    </row>
    <row r="855" spans="1:41" ht="12.75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87"/>
      <c r="Q855" s="87"/>
      <c r="R855" s="87"/>
      <c r="S855" s="87"/>
      <c r="T855" s="71"/>
      <c r="U855" s="89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  <c r="AM855" s="71"/>
      <c r="AN855" s="71"/>
      <c r="AO855" s="71"/>
    </row>
    <row r="856" spans="1:41" ht="12.75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87"/>
      <c r="Q856" s="87"/>
      <c r="R856" s="87"/>
      <c r="S856" s="87"/>
      <c r="T856" s="71"/>
      <c r="U856" s="89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  <c r="AM856" s="71"/>
      <c r="AN856" s="71"/>
      <c r="AO856" s="71"/>
    </row>
    <row r="857" spans="1:41" ht="12.75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87"/>
      <c r="Q857" s="87"/>
      <c r="R857" s="87"/>
      <c r="S857" s="87"/>
      <c r="T857" s="71"/>
      <c r="U857" s="89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  <c r="AM857" s="71"/>
      <c r="AN857" s="71"/>
      <c r="AO857" s="71"/>
    </row>
    <row r="858" spans="1:41" ht="12.75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87"/>
      <c r="Q858" s="87"/>
      <c r="R858" s="87"/>
      <c r="S858" s="87"/>
      <c r="T858" s="71"/>
      <c r="U858" s="89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  <c r="AM858" s="71"/>
      <c r="AN858" s="71"/>
      <c r="AO858" s="71"/>
    </row>
    <row r="859" spans="1:41" ht="12.75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87"/>
      <c r="Q859" s="87"/>
      <c r="R859" s="87"/>
      <c r="S859" s="87"/>
      <c r="T859" s="71"/>
      <c r="U859" s="89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  <c r="AM859" s="71"/>
      <c r="AN859" s="71"/>
      <c r="AO859" s="71"/>
    </row>
    <row r="860" spans="1:41" ht="12.75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87"/>
      <c r="Q860" s="87"/>
      <c r="R860" s="87"/>
      <c r="S860" s="87"/>
      <c r="T860" s="71"/>
      <c r="U860" s="89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  <c r="AM860" s="71"/>
      <c r="AN860" s="71"/>
      <c r="AO860" s="71"/>
    </row>
    <row r="861" spans="1:41" ht="12.75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87"/>
      <c r="Q861" s="87"/>
      <c r="R861" s="87"/>
      <c r="S861" s="87"/>
      <c r="T861" s="71"/>
      <c r="U861" s="89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  <c r="AM861" s="71"/>
      <c r="AN861" s="71"/>
      <c r="AO861" s="71"/>
    </row>
    <row r="862" spans="1:41" ht="12.75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87"/>
      <c r="Q862" s="87"/>
      <c r="R862" s="87"/>
      <c r="S862" s="87"/>
      <c r="T862" s="71"/>
      <c r="U862" s="89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  <c r="AM862" s="71"/>
      <c r="AN862" s="71"/>
      <c r="AO862" s="71"/>
    </row>
    <row r="863" spans="1:41" ht="12.75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87"/>
      <c r="Q863" s="87"/>
      <c r="R863" s="87"/>
      <c r="S863" s="87"/>
      <c r="T863" s="71"/>
      <c r="U863" s="89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  <c r="AM863" s="71"/>
      <c r="AN863" s="71"/>
      <c r="AO863" s="71"/>
    </row>
    <row r="864" spans="1:41" ht="12.75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87"/>
      <c r="Q864" s="87"/>
      <c r="R864" s="87"/>
      <c r="S864" s="87"/>
      <c r="T864" s="71"/>
      <c r="U864" s="89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  <c r="AM864" s="71"/>
      <c r="AN864" s="71"/>
      <c r="AO864" s="71"/>
    </row>
    <row r="865" spans="1:41" ht="12.75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87"/>
      <c r="Q865" s="87"/>
      <c r="R865" s="87"/>
      <c r="S865" s="87"/>
      <c r="T865" s="71"/>
      <c r="U865" s="89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  <c r="AM865" s="71"/>
      <c r="AN865" s="71"/>
      <c r="AO865" s="71"/>
    </row>
    <row r="866" spans="1:41" ht="12.75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87"/>
      <c r="Q866" s="87"/>
      <c r="R866" s="87"/>
      <c r="S866" s="87"/>
      <c r="T866" s="71"/>
      <c r="U866" s="89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  <c r="AM866" s="71"/>
      <c r="AN866" s="71"/>
      <c r="AO866" s="71"/>
    </row>
    <row r="867" spans="1:41" ht="12.75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87"/>
      <c r="Q867" s="87"/>
      <c r="R867" s="87"/>
      <c r="S867" s="87"/>
      <c r="T867" s="71"/>
      <c r="U867" s="89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  <c r="AM867" s="71"/>
      <c r="AN867" s="71"/>
      <c r="AO867" s="71"/>
    </row>
    <row r="868" spans="1:41" ht="12.75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87"/>
      <c r="Q868" s="87"/>
      <c r="R868" s="87"/>
      <c r="S868" s="87"/>
      <c r="T868" s="71"/>
      <c r="U868" s="89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  <c r="AM868" s="71"/>
      <c r="AN868" s="71"/>
      <c r="AO868" s="71"/>
    </row>
    <row r="869" spans="1:41" ht="12.75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87"/>
      <c r="Q869" s="87"/>
      <c r="R869" s="87"/>
      <c r="S869" s="87"/>
      <c r="T869" s="71"/>
      <c r="U869" s="89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  <c r="AM869" s="71"/>
      <c r="AN869" s="71"/>
      <c r="AO869" s="71"/>
    </row>
    <row r="870" spans="1:41" ht="12.75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87"/>
      <c r="Q870" s="87"/>
      <c r="R870" s="87"/>
      <c r="S870" s="87"/>
      <c r="T870" s="71"/>
      <c r="U870" s="89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  <c r="AM870" s="71"/>
      <c r="AN870" s="71"/>
      <c r="AO870" s="71"/>
    </row>
    <row r="871" spans="1:41" ht="12.75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87"/>
      <c r="Q871" s="87"/>
      <c r="R871" s="87"/>
      <c r="S871" s="87"/>
      <c r="T871" s="71"/>
      <c r="U871" s="89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  <c r="AM871" s="71"/>
      <c r="AN871" s="71"/>
      <c r="AO871" s="71"/>
    </row>
    <row r="872" spans="1:41" ht="12.75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87"/>
      <c r="Q872" s="87"/>
      <c r="R872" s="87"/>
      <c r="S872" s="87"/>
      <c r="T872" s="71"/>
      <c r="U872" s="89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  <c r="AM872" s="71"/>
      <c r="AN872" s="71"/>
      <c r="AO872" s="71"/>
    </row>
    <row r="873" spans="1:41" ht="12.75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87"/>
      <c r="Q873" s="87"/>
      <c r="R873" s="87"/>
      <c r="S873" s="87"/>
      <c r="T873" s="71"/>
      <c r="U873" s="89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  <c r="AM873" s="71"/>
      <c r="AN873" s="71"/>
      <c r="AO873" s="71"/>
    </row>
    <row r="874" spans="1:41" ht="12.75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87"/>
      <c r="Q874" s="87"/>
      <c r="R874" s="87"/>
      <c r="S874" s="87"/>
      <c r="T874" s="71"/>
      <c r="U874" s="89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  <c r="AM874" s="71"/>
      <c r="AN874" s="71"/>
      <c r="AO874" s="71"/>
    </row>
    <row r="875" spans="1:41" ht="12.75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87"/>
      <c r="Q875" s="87"/>
      <c r="R875" s="87"/>
      <c r="S875" s="87"/>
      <c r="T875" s="71"/>
      <c r="U875" s="89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  <c r="AM875" s="71"/>
      <c r="AN875" s="71"/>
      <c r="AO875" s="71"/>
    </row>
    <row r="876" spans="1:41" ht="12.75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87"/>
      <c r="Q876" s="87"/>
      <c r="R876" s="87"/>
      <c r="S876" s="87"/>
      <c r="T876" s="71"/>
      <c r="U876" s="89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  <c r="AM876" s="71"/>
      <c r="AN876" s="71"/>
      <c r="AO876" s="71"/>
    </row>
    <row r="877" spans="1:41" ht="12.75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87"/>
      <c r="Q877" s="87"/>
      <c r="R877" s="87"/>
      <c r="S877" s="87"/>
      <c r="T877" s="71"/>
      <c r="U877" s="89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  <c r="AM877" s="71"/>
      <c r="AN877" s="71"/>
      <c r="AO877" s="71"/>
    </row>
    <row r="878" spans="1:41" ht="12.75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87"/>
      <c r="Q878" s="87"/>
      <c r="R878" s="87"/>
      <c r="S878" s="87"/>
      <c r="T878" s="71"/>
      <c r="U878" s="89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  <c r="AM878" s="71"/>
      <c r="AN878" s="71"/>
      <c r="AO878" s="71"/>
    </row>
    <row r="879" spans="1:41" ht="12.75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87"/>
      <c r="Q879" s="87"/>
      <c r="R879" s="87"/>
      <c r="S879" s="87"/>
      <c r="T879" s="71"/>
      <c r="U879" s="89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  <c r="AM879" s="71"/>
      <c r="AN879" s="71"/>
      <c r="AO879" s="71"/>
    </row>
    <row r="880" spans="1:41" ht="12.75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87"/>
      <c r="Q880" s="87"/>
      <c r="R880" s="87"/>
      <c r="S880" s="87"/>
      <c r="T880" s="71"/>
      <c r="U880" s="89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  <c r="AM880" s="71"/>
      <c r="AN880" s="71"/>
      <c r="AO880" s="71"/>
    </row>
    <row r="881" spans="1:41" ht="12.75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87"/>
      <c r="Q881" s="87"/>
      <c r="R881" s="87"/>
      <c r="S881" s="87"/>
      <c r="T881" s="71"/>
      <c r="U881" s="89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  <c r="AM881" s="71"/>
      <c r="AN881" s="71"/>
      <c r="AO881" s="71"/>
    </row>
    <row r="882" spans="1:41" ht="12.75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87"/>
      <c r="Q882" s="87"/>
      <c r="R882" s="87"/>
      <c r="S882" s="87"/>
      <c r="T882" s="71"/>
      <c r="U882" s="89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  <c r="AM882" s="71"/>
      <c r="AN882" s="71"/>
      <c r="AO882" s="71"/>
    </row>
    <row r="883" spans="1:41" ht="12.75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87"/>
      <c r="Q883" s="87"/>
      <c r="R883" s="87"/>
      <c r="S883" s="87"/>
      <c r="T883" s="71"/>
      <c r="U883" s="89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  <c r="AM883" s="71"/>
      <c r="AN883" s="71"/>
      <c r="AO883" s="71"/>
    </row>
    <row r="884" spans="1:41" ht="12.75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87"/>
      <c r="Q884" s="87"/>
      <c r="R884" s="87"/>
      <c r="S884" s="87"/>
      <c r="T884" s="71"/>
      <c r="U884" s="89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  <c r="AM884" s="71"/>
      <c r="AN884" s="71"/>
      <c r="AO884" s="71"/>
    </row>
    <row r="885" spans="1:41" ht="12.75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87"/>
      <c r="Q885" s="87"/>
      <c r="R885" s="87"/>
      <c r="S885" s="87"/>
      <c r="T885" s="71"/>
      <c r="U885" s="89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  <c r="AM885" s="71"/>
      <c r="AN885" s="71"/>
      <c r="AO885" s="71"/>
    </row>
    <row r="886" spans="1:41" ht="12.75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87"/>
      <c r="Q886" s="87"/>
      <c r="R886" s="87"/>
      <c r="S886" s="87"/>
      <c r="T886" s="71"/>
      <c r="U886" s="89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  <c r="AM886" s="71"/>
      <c r="AN886" s="71"/>
      <c r="AO886" s="71"/>
    </row>
    <row r="887" spans="1:41" ht="12.75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87"/>
      <c r="Q887" s="87"/>
      <c r="R887" s="87"/>
      <c r="S887" s="87"/>
      <c r="T887" s="71"/>
      <c r="U887" s="89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  <c r="AM887" s="71"/>
      <c r="AN887" s="71"/>
      <c r="AO887" s="71"/>
    </row>
    <row r="888" spans="1:41" ht="12.75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87"/>
      <c r="Q888" s="87"/>
      <c r="R888" s="87"/>
      <c r="S888" s="87"/>
      <c r="T888" s="71"/>
      <c r="U888" s="89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  <c r="AM888" s="71"/>
      <c r="AN888" s="71"/>
      <c r="AO888" s="71"/>
    </row>
    <row r="889" spans="1:41" ht="12.75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87"/>
      <c r="Q889" s="87"/>
      <c r="R889" s="87"/>
      <c r="S889" s="87"/>
      <c r="T889" s="71"/>
      <c r="U889" s="89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  <c r="AM889" s="71"/>
      <c r="AN889" s="71"/>
      <c r="AO889" s="71"/>
    </row>
    <row r="890" spans="1:41" ht="12.75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87"/>
      <c r="Q890" s="87"/>
      <c r="R890" s="87"/>
      <c r="S890" s="87"/>
      <c r="T890" s="71"/>
      <c r="U890" s="89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  <c r="AM890" s="71"/>
      <c r="AN890" s="71"/>
      <c r="AO890" s="71"/>
    </row>
    <row r="891" spans="1:41" ht="12.75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87"/>
      <c r="Q891" s="87"/>
      <c r="R891" s="87"/>
      <c r="S891" s="87"/>
      <c r="T891" s="71"/>
      <c r="U891" s="89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  <c r="AM891" s="71"/>
      <c r="AN891" s="71"/>
      <c r="AO891" s="71"/>
    </row>
    <row r="892" spans="1:41" ht="12.75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87"/>
      <c r="Q892" s="87"/>
      <c r="R892" s="87"/>
      <c r="S892" s="87"/>
      <c r="T892" s="71"/>
      <c r="U892" s="89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  <c r="AM892" s="71"/>
      <c r="AN892" s="71"/>
      <c r="AO892" s="71"/>
    </row>
    <row r="893" spans="1:41" ht="12.75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87"/>
      <c r="Q893" s="87"/>
      <c r="R893" s="87"/>
      <c r="S893" s="87"/>
      <c r="T893" s="71"/>
      <c r="U893" s="89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  <c r="AM893" s="71"/>
      <c r="AN893" s="71"/>
      <c r="AO893" s="71"/>
    </row>
    <row r="894" spans="1:41" ht="12.75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87"/>
      <c r="Q894" s="87"/>
      <c r="R894" s="87"/>
      <c r="S894" s="87"/>
      <c r="T894" s="71"/>
      <c r="U894" s="89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  <c r="AM894" s="71"/>
      <c r="AN894" s="71"/>
      <c r="AO894" s="71"/>
    </row>
    <row r="895" spans="1:41" ht="12.75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87"/>
      <c r="Q895" s="87"/>
      <c r="R895" s="87"/>
      <c r="S895" s="87"/>
      <c r="T895" s="71"/>
      <c r="U895" s="89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  <c r="AM895" s="71"/>
      <c r="AN895" s="71"/>
      <c r="AO895" s="71"/>
    </row>
    <row r="896" spans="1:41" ht="12.75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87"/>
      <c r="Q896" s="87"/>
      <c r="R896" s="87"/>
      <c r="S896" s="87"/>
      <c r="T896" s="71"/>
      <c r="U896" s="89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  <c r="AM896" s="71"/>
      <c r="AN896" s="71"/>
      <c r="AO896" s="71"/>
    </row>
    <row r="897" spans="1:41" ht="12.75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87"/>
      <c r="Q897" s="87"/>
      <c r="R897" s="87"/>
      <c r="S897" s="87"/>
      <c r="T897" s="71"/>
      <c r="U897" s="89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  <c r="AM897" s="71"/>
      <c r="AN897" s="71"/>
      <c r="AO897" s="71"/>
    </row>
    <row r="898" spans="1:41" ht="12.75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87"/>
      <c r="Q898" s="87"/>
      <c r="R898" s="87"/>
      <c r="S898" s="87"/>
      <c r="T898" s="71"/>
      <c r="U898" s="89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  <c r="AM898" s="71"/>
      <c r="AN898" s="71"/>
      <c r="AO898" s="71"/>
    </row>
    <row r="899" spans="1:41" ht="12.75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87"/>
      <c r="Q899" s="87"/>
      <c r="R899" s="87"/>
      <c r="S899" s="87"/>
      <c r="T899" s="71"/>
      <c r="U899" s="89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  <c r="AM899" s="71"/>
      <c r="AN899" s="71"/>
      <c r="AO899" s="71"/>
    </row>
    <row r="900" spans="1:41" ht="12.75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87"/>
      <c r="Q900" s="87"/>
      <c r="R900" s="87"/>
      <c r="S900" s="87"/>
      <c r="T900" s="71"/>
      <c r="U900" s="89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  <c r="AM900" s="71"/>
      <c r="AN900" s="71"/>
      <c r="AO900" s="71"/>
    </row>
    <row r="901" spans="1:41" ht="12.75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87"/>
      <c r="Q901" s="87"/>
      <c r="R901" s="87"/>
      <c r="S901" s="87"/>
      <c r="T901" s="71"/>
      <c r="U901" s="89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  <c r="AM901" s="71"/>
      <c r="AN901" s="71"/>
      <c r="AO901" s="71"/>
    </row>
    <row r="902" spans="1:41" ht="12.75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87"/>
      <c r="Q902" s="87"/>
      <c r="R902" s="87"/>
      <c r="S902" s="87"/>
      <c r="T902" s="71"/>
      <c r="U902" s="89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  <c r="AM902" s="71"/>
      <c r="AN902" s="71"/>
      <c r="AO902" s="71"/>
    </row>
    <row r="903" spans="1:41" ht="12.75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87"/>
      <c r="Q903" s="87"/>
      <c r="R903" s="87"/>
      <c r="S903" s="87"/>
      <c r="T903" s="71"/>
      <c r="U903" s="89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  <c r="AM903" s="71"/>
      <c r="AN903" s="71"/>
      <c r="AO903" s="71"/>
    </row>
    <row r="904" spans="1:41" ht="12.75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87"/>
      <c r="Q904" s="87"/>
      <c r="R904" s="87"/>
      <c r="S904" s="87"/>
      <c r="T904" s="71"/>
      <c r="U904" s="89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  <c r="AM904" s="71"/>
      <c r="AN904" s="71"/>
      <c r="AO904" s="71"/>
    </row>
    <row r="905" spans="1:41" ht="12.75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87"/>
      <c r="Q905" s="87"/>
      <c r="R905" s="87"/>
      <c r="S905" s="87"/>
      <c r="T905" s="71"/>
      <c r="U905" s="89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  <c r="AM905" s="71"/>
      <c r="AN905" s="71"/>
      <c r="AO905" s="71"/>
    </row>
    <row r="906" spans="1:41" ht="12.75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87"/>
      <c r="Q906" s="87"/>
      <c r="R906" s="87"/>
      <c r="S906" s="87"/>
      <c r="T906" s="71"/>
      <c r="U906" s="89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  <c r="AM906" s="71"/>
      <c r="AN906" s="71"/>
      <c r="AO906" s="71"/>
    </row>
    <row r="907" spans="1:41" ht="12.75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87"/>
      <c r="Q907" s="87"/>
      <c r="R907" s="87"/>
      <c r="S907" s="87"/>
      <c r="T907" s="71"/>
      <c r="U907" s="89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  <c r="AM907" s="71"/>
      <c r="AN907" s="71"/>
      <c r="AO907" s="71"/>
    </row>
    <row r="908" spans="1:41" ht="12.75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87"/>
      <c r="Q908" s="87"/>
      <c r="R908" s="87"/>
      <c r="S908" s="87"/>
      <c r="T908" s="71"/>
      <c r="U908" s="89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  <c r="AM908" s="71"/>
      <c r="AN908" s="71"/>
      <c r="AO908" s="71"/>
    </row>
    <row r="909" spans="1:41" ht="12.75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87"/>
      <c r="Q909" s="87"/>
      <c r="R909" s="87"/>
      <c r="S909" s="87"/>
      <c r="T909" s="71"/>
      <c r="U909" s="89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  <c r="AM909" s="71"/>
      <c r="AN909" s="71"/>
      <c r="AO909" s="71"/>
    </row>
    <row r="910" spans="1:41" ht="12.75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87"/>
      <c r="Q910" s="87"/>
      <c r="R910" s="87"/>
      <c r="S910" s="87"/>
      <c r="T910" s="71"/>
      <c r="U910" s="89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  <c r="AM910" s="71"/>
      <c r="AN910" s="71"/>
      <c r="AO910" s="71"/>
    </row>
    <row r="911" spans="1:41" ht="12.75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87"/>
      <c r="Q911" s="87"/>
      <c r="R911" s="87"/>
      <c r="S911" s="87"/>
      <c r="T911" s="71"/>
      <c r="U911" s="89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  <c r="AM911" s="71"/>
      <c r="AN911" s="71"/>
      <c r="AO911" s="71"/>
    </row>
    <row r="912" spans="1:41" ht="12.75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87"/>
      <c r="Q912" s="87"/>
      <c r="R912" s="87"/>
      <c r="S912" s="87"/>
      <c r="T912" s="71"/>
      <c r="U912" s="89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  <c r="AM912" s="71"/>
      <c r="AN912" s="71"/>
      <c r="AO912" s="71"/>
    </row>
    <row r="913" spans="1:41" ht="12.75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87"/>
      <c r="Q913" s="87"/>
      <c r="R913" s="87"/>
      <c r="S913" s="87"/>
      <c r="T913" s="71"/>
      <c r="U913" s="89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  <c r="AM913" s="71"/>
      <c r="AN913" s="71"/>
      <c r="AO913" s="71"/>
    </row>
    <row r="914" spans="1:41" ht="12.75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87"/>
      <c r="Q914" s="87"/>
      <c r="R914" s="87"/>
      <c r="S914" s="87"/>
      <c r="T914" s="71"/>
      <c r="U914" s="89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  <c r="AM914" s="71"/>
      <c r="AN914" s="71"/>
      <c r="AO914" s="71"/>
    </row>
    <row r="915" spans="1:41" ht="12.75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87"/>
      <c r="Q915" s="87"/>
      <c r="R915" s="87"/>
      <c r="S915" s="87"/>
      <c r="T915" s="71"/>
      <c r="U915" s="89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  <c r="AM915" s="71"/>
      <c r="AN915" s="71"/>
      <c r="AO915" s="71"/>
    </row>
    <row r="916" spans="1:41" ht="12.75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87"/>
      <c r="Q916" s="87"/>
      <c r="R916" s="87"/>
      <c r="S916" s="87"/>
      <c r="T916" s="71"/>
      <c r="U916" s="89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  <c r="AM916" s="71"/>
      <c r="AN916" s="71"/>
      <c r="AO916" s="71"/>
    </row>
    <row r="917" spans="1:41" ht="12.75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87"/>
      <c r="Q917" s="87"/>
      <c r="R917" s="87"/>
      <c r="S917" s="87"/>
      <c r="T917" s="71"/>
      <c r="U917" s="89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  <c r="AM917" s="71"/>
      <c r="AN917" s="71"/>
      <c r="AO917" s="71"/>
    </row>
    <row r="918" spans="1:41" ht="12.75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87"/>
      <c r="Q918" s="87"/>
      <c r="R918" s="87"/>
      <c r="S918" s="87"/>
      <c r="T918" s="71"/>
      <c r="U918" s="89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  <c r="AM918" s="71"/>
      <c r="AN918" s="71"/>
      <c r="AO918" s="71"/>
    </row>
    <row r="919" spans="1:41" ht="12.75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87"/>
      <c r="Q919" s="87"/>
      <c r="R919" s="87"/>
      <c r="S919" s="87"/>
      <c r="T919" s="71"/>
      <c r="U919" s="89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  <c r="AM919" s="71"/>
      <c r="AN919" s="71"/>
      <c r="AO919" s="71"/>
    </row>
    <row r="920" spans="1:41" ht="12.75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87"/>
      <c r="Q920" s="87"/>
      <c r="R920" s="87"/>
      <c r="S920" s="87"/>
      <c r="T920" s="71"/>
      <c r="U920" s="89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  <c r="AM920" s="71"/>
      <c r="AN920" s="71"/>
      <c r="AO920" s="71"/>
    </row>
    <row r="921" spans="1:41" ht="12.75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87"/>
      <c r="Q921" s="87"/>
      <c r="R921" s="87"/>
      <c r="S921" s="87"/>
      <c r="T921" s="71"/>
      <c r="U921" s="89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  <c r="AM921" s="71"/>
      <c r="AN921" s="71"/>
      <c r="AO921" s="71"/>
    </row>
    <row r="922" spans="1:41" ht="12.75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87"/>
      <c r="Q922" s="87"/>
      <c r="R922" s="87"/>
      <c r="S922" s="87"/>
      <c r="T922" s="71"/>
      <c r="U922" s="89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  <c r="AM922" s="71"/>
      <c r="AN922" s="71"/>
      <c r="AO922" s="71"/>
    </row>
    <row r="923" spans="1:41" ht="12.75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87"/>
      <c r="Q923" s="87"/>
      <c r="R923" s="87"/>
      <c r="S923" s="87"/>
      <c r="T923" s="71"/>
      <c r="U923" s="89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  <c r="AM923" s="71"/>
      <c r="AN923" s="71"/>
      <c r="AO923" s="71"/>
    </row>
    <row r="924" spans="1:41" ht="12.75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87"/>
      <c r="Q924" s="87"/>
      <c r="R924" s="87"/>
      <c r="S924" s="87"/>
      <c r="T924" s="71"/>
      <c r="U924" s="89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  <c r="AM924" s="71"/>
      <c r="AN924" s="71"/>
      <c r="AO924" s="71"/>
    </row>
    <row r="925" spans="1:41" ht="12.75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87"/>
      <c r="Q925" s="87"/>
      <c r="R925" s="87"/>
      <c r="S925" s="87"/>
      <c r="T925" s="71"/>
      <c r="U925" s="89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  <c r="AM925" s="71"/>
      <c r="AN925" s="71"/>
      <c r="AO925" s="71"/>
    </row>
    <row r="926" spans="1:41" ht="12.75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87"/>
      <c r="Q926" s="87"/>
      <c r="R926" s="87"/>
      <c r="S926" s="87"/>
      <c r="T926" s="71"/>
      <c r="U926" s="89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  <c r="AM926" s="71"/>
      <c r="AN926" s="71"/>
      <c r="AO926" s="71"/>
    </row>
    <row r="927" spans="1:41" ht="12.75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87"/>
      <c r="Q927" s="87"/>
      <c r="R927" s="87"/>
      <c r="S927" s="87"/>
      <c r="T927" s="71"/>
      <c r="U927" s="89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  <c r="AM927" s="71"/>
      <c r="AN927" s="71"/>
      <c r="AO927" s="71"/>
    </row>
    <row r="928" spans="1:41" ht="12.75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87"/>
      <c r="Q928" s="87"/>
      <c r="R928" s="87"/>
      <c r="S928" s="87"/>
      <c r="T928" s="71"/>
      <c r="U928" s="89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  <c r="AM928" s="71"/>
      <c r="AN928" s="71"/>
      <c r="AO928" s="71"/>
    </row>
    <row r="929" spans="1:41" ht="12.75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87"/>
      <c r="Q929" s="87"/>
      <c r="R929" s="87"/>
      <c r="S929" s="87"/>
      <c r="T929" s="71"/>
      <c r="U929" s="89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  <c r="AM929" s="71"/>
      <c r="AN929" s="71"/>
      <c r="AO929" s="71"/>
    </row>
    <row r="930" spans="1:41" ht="12.75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87"/>
      <c r="Q930" s="87"/>
      <c r="R930" s="87"/>
      <c r="S930" s="87"/>
      <c r="T930" s="71"/>
      <c r="U930" s="89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  <c r="AM930" s="71"/>
      <c r="AN930" s="71"/>
      <c r="AO930" s="71"/>
    </row>
    <row r="931" spans="1:41" ht="12.75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87"/>
      <c r="Q931" s="87"/>
      <c r="R931" s="87"/>
      <c r="S931" s="87"/>
      <c r="T931" s="71"/>
      <c r="U931" s="89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  <c r="AM931" s="71"/>
      <c r="AN931" s="71"/>
      <c r="AO931" s="71"/>
    </row>
    <row r="932" spans="1:41" ht="12.75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87"/>
      <c r="Q932" s="87"/>
      <c r="R932" s="87"/>
      <c r="S932" s="87"/>
      <c r="T932" s="71"/>
      <c r="U932" s="89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  <c r="AM932" s="71"/>
      <c r="AN932" s="71"/>
      <c r="AO932" s="71"/>
    </row>
    <row r="933" spans="1:41" ht="12.75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87"/>
      <c r="Q933" s="87"/>
      <c r="R933" s="87"/>
      <c r="S933" s="87"/>
      <c r="T933" s="71"/>
      <c r="U933" s="89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  <c r="AM933" s="71"/>
      <c r="AN933" s="71"/>
      <c r="AO933" s="71"/>
    </row>
    <row r="934" spans="1:41" ht="12.75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87"/>
      <c r="Q934" s="87"/>
      <c r="R934" s="87"/>
      <c r="S934" s="87"/>
      <c r="T934" s="71"/>
      <c r="U934" s="89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  <c r="AM934" s="71"/>
      <c r="AN934" s="71"/>
      <c r="AO934" s="71"/>
    </row>
    <row r="935" spans="1:41" ht="12.75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87"/>
      <c r="Q935" s="87"/>
      <c r="R935" s="87"/>
      <c r="S935" s="87"/>
      <c r="T935" s="71"/>
      <c r="U935" s="89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  <c r="AM935" s="71"/>
      <c r="AN935" s="71"/>
      <c r="AO935" s="71"/>
    </row>
    <row r="936" spans="1:41" ht="12.75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87"/>
      <c r="Q936" s="87"/>
      <c r="R936" s="87"/>
      <c r="S936" s="87"/>
      <c r="T936" s="71"/>
      <c r="U936" s="89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  <c r="AM936" s="71"/>
      <c r="AN936" s="71"/>
      <c r="AO936" s="71"/>
    </row>
    <row r="937" spans="1:41" ht="12.75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87"/>
      <c r="Q937" s="87"/>
      <c r="R937" s="87"/>
      <c r="S937" s="87"/>
      <c r="T937" s="71"/>
      <c r="U937" s="89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  <c r="AM937" s="71"/>
      <c r="AN937" s="71"/>
      <c r="AO937" s="71"/>
    </row>
    <row r="938" spans="1:41" ht="12.75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87"/>
      <c r="Q938" s="87"/>
      <c r="R938" s="87"/>
      <c r="S938" s="87"/>
      <c r="T938" s="71"/>
      <c r="U938" s="89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  <c r="AM938" s="71"/>
      <c r="AN938" s="71"/>
      <c r="AO938" s="71"/>
    </row>
    <row r="939" spans="1:41" ht="12.75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87"/>
      <c r="Q939" s="87"/>
      <c r="R939" s="87"/>
      <c r="S939" s="87"/>
      <c r="T939" s="71"/>
      <c r="U939" s="89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  <c r="AM939" s="71"/>
      <c r="AN939" s="71"/>
      <c r="AO939" s="71"/>
    </row>
    <row r="940" spans="1:41" ht="12.75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87"/>
      <c r="Q940" s="87"/>
      <c r="R940" s="87"/>
      <c r="S940" s="87"/>
      <c r="T940" s="71"/>
      <c r="U940" s="89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  <c r="AM940" s="71"/>
      <c r="AN940" s="71"/>
      <c r="AO940" s="71"/>
    </row>
    <row r="941" spans="1:41" ht="12.75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87"/>
      <c r="Q941" s="87"/>
      <c r="R941" s="87"/>
      <c r="S941" s="87"/>
      <c r="T941" s="71"/>
      <c r="U941" s="89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  <c r="AM941" s="71"/>
      <c r="AN941" s="71"/>
      <c r="AO941" s="71"/>
    </row>
    <row r="942" spans="1:41" ht="12.75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87"/>
      <c r="Q942" s="87"/>
      <c r="R942" s="87"/>
      <c r="S942" s="87"/>
      <c r="T942" s="71"/>
      <c r="U942" s="89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  <c r="AM942" s="71"/>
      <c r="AN942" s="71"/>
      <c r="AO942" s="71"/>
    </row>
    <row r="943" spans="1:41" ht="12.75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87"/>
      <c r="Q943" s="87"/>
      <c r="R943" s="87"/>
      <c r="S943" s="87"/>
      <c r="T943" s="71"/>
      <c r="U943" s="89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  <c r="AM943" s="71"/>
      <c r="AN943" s="71"/>
      <c r="AO943" s="71"/>
    </row>
    <row r="944" spans="1:41" ht="12.75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87"/>
      <c r="Q944" s="87"/>
      <c r="R944" s="87"/>
      <c r="S944" s="87"/>
      <c r="T944" s="71"/>
      <c r="U944" s="89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  <c r="AM944" s="71"/>
      <c r="AN944" s="71"/>
      <c r="AO944" s="71"/>
    </row>
    <row r="945" spans="1:41" ht="12.75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87"/>
      <c r="Q945" s="87"/>
      <c r="R945" s="87"/>
      <c r="S945" s="87"/>
      <c r="T945" s="71"/>
      <c r="U945" s="89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  <c r="AM945" s="71"/>
      <c r="AN945" s="71"/>
      <c r="AO945" s="71"/>
    </row>
    <row r="946" spans="1:41" ht="12.75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87"/>
      <c r="Q946" s="87"/>
      <c r="R946" s="87"/>
      <c r="S946" s="87"/>
      <c r="T946" s="71"/>
      <c r="U946" s="89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  <c r="AM946" s="71"/>
      <c r="AN946" s="71"/>
      <c r="AO946" s="71"/>
    </row>
    <row r="947" spans="1:41" ht="12.75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87"/>
      <c r="Q947" s="87"/>
      <c r="R947" s="87"/>
      <c r="S947" s="87"/>
      <c r="T947" s="71"/>
      <c r="U947" s="89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  <c r="AM947" s="71"/>
      <c r="AN947" s="71"/>
      <c r="AO947" s="71"/>
    </row>
    <row r="948" spans="1:41" ht="12.75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87"/>
      <c r="Q948" s="87"/>
      <c r="R948" s="87"/>
      <c r="S948" s="87"/>
      <c r="T948" s="71"/>
      <c r="U948" s="89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  <c r="AM948" s="71"/>
      <c r="AN948" s="71"/>
      <c r="AO948" s="71"/>
    </row>
    <row r="949" spans="1:41" ht="12.75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87"/>
      <c r="Q949" s="87"/>
      <c r="R949" s="87"/>
      <c r="S949" s="87"/>
      <c r="T949" s="71"/>
      <c r="U949" s="89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  <c r="AM949" s="71"/>
      <c r="AN949" s="71"/>
      <c r="AO949" s="71"/>
    </row>
    <row r="950" spans="1:41" ht="12.75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87"/>
      <c r="Q950" s="87"/>
      <c r="R950" s="87"/>
      <c r="S950" s="87"/>
      <c r="T950" s="71"/>
      <c r="U950" s="89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  <c r="AM950" s="71"/>
      <c r="AN950" s="71"/>
      <c r="AO950" s="71"/>
    </row>
    <row r="951" spans="1:41" ht="12.75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87"/>
      <c r="Q951" s="87"/>
      <c r="R951" s="87"/>
      <c r="S951" s="87"/>
      <c r="T951" s="71"/>
      <c r="U951" s="89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  <c r="AM951" s="71"/>
      <c r="AN951" s="71"/>
      <c r="AO951" s="71"/>
    </row>
    <row r="952" spans="1:41" ht="12.75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87"/>
      <c r="Q952" s="87"/>
      <c r="R952" s="87"/>
      <c r="S952" s="87"/>
      <c r="T952" s="71"/>
      <c r="U952" s="89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  <c r="AM952" s="71"/>
      <c r="AN952" s="71"/>
      <c r="AO952" s="71"/>
    </row>
    <row r="953" spans="1:41" ht="12.75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87"/>
      <c r="Q953" s="87"/>
      <c r="R953" s="87"/>
      <c r="S953" s="87"/>
      <c r="T953" s="71"/>
      <c r="U953" s="89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  <c r="AM953" s="71"/>
      <c r="AN953" s="71"/>
      <c r="AO953" s="71"/>
    </row>
    <row r="954" spans="1:41" ht="12.75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87"/>
      <c r="Q954" s="87"/>
      <c r="R954" s="87"/>
      <c r="S954" s="87"/>
      <c r="T954" s="71"/>
      <c r="U954" s="89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  <c r="AM954" s="71"/>
      <c r="AN954" s="71"/>
      <c r="AO954" s="71"/>
    </row>
    <row r="955" spans="1:41" ht="12.75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87"/>
      <c r="Q955" s="87"/>
      <c r="R955" s="87"/>
      <c r="S955" s="87"/>
      <c r="T955" s="71"/>
      <c r="U955" s="89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  <c r="AM955" s="71"/>
      <c r="AN955" s="71"/>
      <c r="AO955" s="71"/>
    </row>
    <row r="956" spans="1:41" ht="12.75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87"/>
      <c r="Q956" s="87"/>
      <c r="R956" s="87"/>
      <c r="S956" s="87"/>
      <c r="T956" s="71"/>
      <c r="U956" s="89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  <c r="AM956" s="71"/>
      <c r="AN956" s="71"/>
      <c r="AO956" s="71"/>
    </row>
    <row r="957" spans="1:41" ht="12.75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87"/>
      <c r="Q957" s="87"/>
      <c r="R957" s="87"/>
      <c r="S957" s="87"/>
      <c r="T957" s="71"/>
      <c r="U957" s="89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  <c r="AM957" s="71"/>
      <c r="AN957" s="71"/>
      <c r="AO957" s="71"/>
    </row>
    <row r="958" spans="1:41" ht="12.75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87"/>
      <c r="Q958" s="87"/>
      <c r="R958" s="87"/>
      <c r="S958" s="87"/>
      <c r="T958" s="71"/>
      <c r="U958" s="89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  <c r="AM958" s="71"/>
      <c r="AN958" s="71"/>
      <c r="AO958" s="71"/>
    </row>
    <row r="959" spans="1:41" ht="12.75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87"/>
      <c r="Q959" s="87"/>
      <c r="R959" s="87"/>
      <c r="S959" s="87"/>
      <c r="T959" s="71"/>
      <c r="U959" s="89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  <c r="AM959" s="71"/>
      <c r="AN959" s="71"/>
      <c r="AO959" s="71"/>
    </row>
    <row r="960" spans="1:41" ht="12.75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87"/>
      <c r="Q960" s="87"/>
      <c r="R960" s="87"/>
      <c r="S960" s="87"/>
      <c r="T960" s="71"/>
      <c r="U960" s="89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  <c r="AM960" s="71"/>
      <c r="AN960" s="71"/>
      <c r="AO960" s="71"/>
    </row>
    <row r="961" spans="1:41" ht="12.75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87"/>
      <c r="Q961" s="87"/>
      <c r="R961" s="87"/>
      <c r="S961" s="87"/>
      <c r="T961" s="71"/>
      <c r="U961" s="89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  <c r="AM961" s="71"/>
      <c r="AN961" s="71"/>
      <c r="AO961" s="71"/>
    </row>
    <row r="962" spans="1:41" ht="12.75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87"/>
      <c r="Q962" s="87"/>
      <c r="R962" s="87"/>
      <c r="S962" s="87"/>
      <c r="T962" s="71"/>
      <c r="U962" s="89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  <c r="AM962" s="71"/>
      <c r="AN962" s="71"/>
      <c r="AO962" s="71"/>
    </row>
    <row r="963" spans="1:41" ht="12.75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87"/>
      <c r="Q963" s="87"/>
      <c r="R963" s="87"/>
      <c r="S963" s="87"/>
      <c r="T963" s="71"/>
      <c r="U963" s="89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  <c r="AM963" s="71"/>
      <c r="AN963" s="71"/>
      <c r="AO963" s="71"/>
    </row>
    <row r="964" spans="1:41" ht="12.75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87"/>
      <c r="Q964" s="87"/>
      <c r="R964" s="87"/>
      <c r="S964" s="87"/>
      <c r="T964" s="71"/>
      <c r="U964" s="89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  <c r="AM964" s="71"/>
      <c r="AN964" s="71"/>
      <c r="AO964" s="71"/>
    </row>
    <row r="965" spans="1:41" ht="12.75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87"/>
      <c r="Q965" s="87"/>
      <c r="R965" s="87"/>
      <c r="S965" s="87"/>
      <c r="T965" s="71"/>
      <c r="U965" s="89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  <c r="AM965" s="71"/>
      <c r="AN965" s="71"/>
      <c r="AO965" s="71"/>
    </row>
    <row r="966" spans="1:41" ht="12.75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87"/>
      <c r="Q966" s="87"/>
      <c r="R966" s="87"/>
      <c r="S966" s="87"/>
      <c r="T966" s="71"/>
      <c r="U966" s="89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  <c r="AM966" s="71"/>
      <c r="AN966" s="71"/>
      <c r="AO966" s="71"/>
    </row>
    <row r="967" spans="1:41" ht="12.75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87"/>
      <c r="Q967" s="87"/>
      <c r="R967" s="87"/>
      <c r="S967" s="87"/>
      <c r="T967" s="71"/>
      <c r="U967" s="89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  <c r="AM967" s="71"/>
      <c r="AN967" s="71"/>
      <c r="AO967" s="71"/>
    </row>
    <row r="968" spans="1:41" ht="12.75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87"/>
      <c r="Q968" s="87"/>
      <c r="R968" s="87"/>
      <c r="S968" s="87"/>
      <c r="T968" s="71"/>
      <c r="U968" s="89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  <c r="AM968" s="71"/>
      <c r="AN968" s="71"/>
      <c r="AO968" s="71"/>
    </row>
    <row r="969" spans="1:41" ht="12.75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87"/>
      <c r="Q969" s="87"/>
      <c r="R969" s="87"/>
      <c r="S969" s="87"/>
      <c r="T969" s="71"/>
      <c r="U969" s="89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  <c r="AM969" s="71"/>
      <c r="AN969" s="71"/>
      <c r="AO969" s="71"/>
    </row>
    <row r="970" spans="1:41" ht="12.75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87"/>
      <c r="Q970" s="87"/>
      <c r="R970" s="87"/>
      <c r="S970" s="87"/>
      <c r="T970" s="71"/>
      <c r="U970" s="89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  <c r="AM970" s="71"/>
      <c r="AN970" s="71"/>
      <c r="AO970" s="71"/>
    </row>
    <row r="971" spans="1:41" ht="12.75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87"/>
      <c r="Q971" s="87"/>
      <c r="R971" s="87"/>
      <c r="S971" s="87"/>
      <c r="T971" s="71"/>
      <c r="U971" s="89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  <c r="AM971" s="71"/>
      <c r="AN971" s="71"/>
      <c r="AO971" s="71"/>
    </row>
    <row r="972" spans="1:41" ht="12.75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87"/>
      <c r="Q972" s="87"/>
      <c r="R972" s="87"/>
      <c r="S972" s="87"/>
      <c r="T972" s="71"/>
      <c r="U972" s="89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  <c r="AM972" s="71"/>
      <c r="AN972" s="71"/>
      <c r="AO972" s="71"/>
    </row>
    <row r="973" spans="1:41" ht="12.75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87"/>
      <c r="Q973" s="87"/>
      <c r="R973" s="87"/>
      <c r="S973" s="87"/>
      <c r="T973" s="71"/>
      <c r="U973" s="89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  <c r="AM973" s="71"/>
      <c r="AN973" s="71"/>
      <c r="AO973" s="71"/>
    </row>
    <row r="974" spans="1:41" ht="12.75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87"/>
      <c r="Q974" s="87"/>
      <c r="R974" s="87"/>
      <c r="S974" s="87"/>
      <c r="T974" s="71"/>
      <c r="U974" s="89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  <c r="AM974" s="71"/>
      <c r="AN974" s="71"/>
      <c r="AO974" s="71"/>
    </row>
    <row r="975" spans="1:41" ht="12.75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87"/>
      <c r="Q975" s="87"/>
      <c r="R975" s="87"/>
      <c r="S975" s="87"/>
      <c r="T975" s="71"/>
      <c r="U975" s="89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  <c r="AM975" s="71"/>
      <c r="AN975" s="71"/>
      <c r="AO975" s="71"/>
    </row>
    <row r="976" spans="1:41" ht="12.75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87"/>
      <c r="Q976" s="87"/>
      <c r="R976" s="87"/>
      <c r="S976" s="87"/>
      <c r="T976" s="71"/>
      <c r="U976" s="89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  <c r="AM976" s="71"/>
      <c r="AN976" s="71"/>
      <c r="AO976" s="71"/>
    </row>
    <row r="977" spans="1:41" ht="12.75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87"/>
      <c r="Q977" s="87"/>
      <c r="R977" s="87"/>
      <c r="S977" s="87"/>
      <c r="T977" s="71"/>
      <c r="U977" s="89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  <c r="AM977" s="71"/>
      <c r="AN977" s="71"/>
      <c r="AO977" s="71"/>
    </row>
    <row r="978" spans="1:41" ht="12.75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87"/>
      <c r="Q978" s="87"/>
      <c r="R978" s="87"/>
      <c r="S978" s="87"/>
      <c r="T978" s="71"/>
      <c r="U978" s="89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  <c r="AM978" s="71"/>
      <c r="AN978" s="71"/>
      <c r="AO978" s="71"/>
    </row>
    <row r="979" spans="1:41" ht="12.75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87"/>
      <c r="Q979" s="87"/>
      <c r="R979" s="87"/>
      <c r="S979" s="87"/>
      <c r="T979" s="71"/>
      <c r="U979" s="89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  <c r="AM979" s="71"/>
      <c r="AN979" s="71"/>
      <c r="AO979" s="71"/>
    </row>
    <row r="980" spans="1:41" ht="12.75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87"/>
      <c r="Q980" s="87"/>
      <c r="R980" s="87"/>
      <c r="S980" s="87"/>
      <c r="T980" s="71"/>
      <c r="U980" s="89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  <c r="AM980" s="71"/>
      <c r="AN980" s="71"/>
      <c r="AO980" s="71"/>
    </row>
    <row r="981" spans="1:41" ht="12.75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87"/>
      <c r="Q981" s="87"/>
      <c r="R981" s="87"/>
      <c r="S981" s="87"/>
      <c r="T981" s="71"/>
      <c r="U981" s="89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  <c r="AM981" s="71"/>
      <c r="AN981" s="71"/>
      <c r="AO981" s="71"/>
    </row>
    <row r="982" spans="1:41" ht="12.75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87"/>
      <c r="Q982" s="87"/>
      <c r="R982" s="87"/>
      <c r="S982" s="87"/>
      <c r="T982" s="71"/>
      <c r="U982" s="89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  <c r="AM982" s="71"/>
      <c r="AN982" s="71"/>
      <c r="AO982" s="71"/>
    </row>
    <row r="983" spans="1:41" ht="12.75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87"/>
      <c r="Q983" s="87"/>
      <c r="R983" s="87"/>
      <c r="S983" s="87"/>
      <c r="T983" s="71"/>
      <c r="U983" s="89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  <c r="AM983" s="71"/>
      <c r="AN983" s="71"/>
      <c r="AO983" s="71"/>
    </row>
    <row r="984" spans="1:41" ht="12.75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87"/>
      <c r="Q984" s="87"/>
      <c r="R984" s="87"/>
      <c r="S984" s="87"/>
      <c r="T984" s="71"/>
      <c r="U984" s="89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  <c r="AM984" s="71"/>
      <c r="AN984" s="71"/>
      <c r="AO984" s="71"/>
    </row>
    <row r="985" spans="1:41" ht="12.75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87"/>
      <c r="Q985" s="87"/>
      <c r="R985" s="87"/>
      <c r="S985" s="87"/>
      <c r="T985" s="71"/>
      <c r="U985" s="89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  <c r="AM985" s="71"/>
      <c r="AN985" s="71"/>
      <c r="AO985" s="71"/>
    </row>
    <row r="986" spans="1:41" ht="12.75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87"/>
      <c r="Q986" s="87"/>
      <c r="R986" s="87"/>
      <c r="S986" s="87"/>
      <c r="T986" s="71"/>
      <c r="U986" s="89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  <c r="AM986" s="71"/>
      <c r="AN986" s="71"/>
      <c r="AO986" s="71"/>
    </row>
    <row r="987" spans="1:41" ht="12.75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87"/>
      <c r="Q987" s="87"/>
      <c r="R987" s="87"/>
      <c r="S987" s="87"/>
      <c r="T987" s="71"/>
      <c r="U987" s="89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  <c r="AM987" s="71"/>
      <c r="AN987" s="71"/>
      <c r="AO987" s="71"/>
    </row>
    <row r="988" spans="1:41" ht="12.75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87"/>
      <c r="Q988" s="87"/>
      <c r="R988" s="87"/>
      <c r="S988" s="87"/>
      <c r="T988" s="71"/>
      <c r="U988" s="89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  <c r="AM988" s="71"/>
      <c r="AN988" s="71"/>
      <c r="AO988" s="71"/>
    </row>
    <row r="989" spans="1:41" ht="12.75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87"/>
      <c r="Q989" s="87"/>
      <c r="R989" s="87"/>
      <c r="S989" s="87"/>
      <c r="T989" s="71"/>
      <c r="U989" s="89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  <c r="AM989" s="71"/>
      <c r="AN989" s="71"/>
      <c r="AO989" s="71"/>
    </row>
    <row r="990" spans="1:41" ht="12.75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87"/>
      <c r="Q990" s="87"/>
      <c r="R990" s="87"/>
      <c r="S990" s="87"/>
      <c r="T990" s="71"/>
      <c r="U990" s="89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  <c r="AM990" s="71"/>
      <c r="AN990" s="71"/>
      <c r="AO990" s="71"/>
    </row>
    <row r="991" spans="1:41" ht="12.75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87"/>
      <c r="Q991" s="87"/>
      <c r="R991" s="87"/>
      <c r="S991" s="87"/>
      <c r="T991" s="71"/>
      <c r="U991" s="89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  <c r="AM991" s="71"/>
      <c r="AN991" s="71"/>
      <c r="AO991" s="71"/>
    </row>
    <row r="992" spans="1:41" ht="12.75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87"/>
      <c r="Q992" s="87"/>
      <c r="R992" s="87"/>
      <c r="S992" s="87"/>
      <c r="T992" s="71"/>
      <c r="U992" s="89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  <c r="AM992" s="71"/>
      <c r="AN992" s="71"/>
      <c r="AO992" s="71"/>
    </row>
    <row r="993" spans="1:41" ht="12.75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87"/>
      <c r="Q993" s="87"/>
      <c r="R993" s="87"/>
      <c r="S993" s="87"/>
      <c r="T993" s="71"/>
      <c r="U993" s="89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  <c r="AM993" s="71"/>
      <c r="AN993" s="71"/>
      <c r="AO993" s="71"/>
    </row>
    <row r="994" spans="1:41" ht="12.75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87"/>
      <c r="Q994" s="87"/>
      <c r="R994" s="87"/>
      <c r="S994" s="87"/>
      <c r="T994" s="71"/>
      <c r="U994" s="89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  <c r="AM994" s="71"/>
      <c r="AN994" s="71"/>
      <c r="AO994" s="71"/>
    </row>
    <row r="995" spans="1:41" ht="12.75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87"/>
      <c r="Q995" s="87"/>
      <c r="R995" s="87"/>
      <c r="S995" s="87"/>
      <c r="T995" s="71"/>
      <c r="U995" s="89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  <c r="AM995" s="71"/>
      <c r="AN995" s="71"/>
      <c r="AO995" s="71"/>
    </row>
    <row r="996" spans="1:41" ht="12.75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87"/>
      <c r="Q996" s="87"/>
      <c r="R996" s="87"/>
      <c r="S996" s="87"/>
      <c r="T996" s="71"/>
      <c r="U996" s="89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  <c r="AM996" s="71"/>
      <c r="AN996" s="71"/>
      <c r="AO996" s="71"/>
    </row>
    <row r="997" spans="1:41" ht="12.75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87"/>
      <c r="Q997" s="87"/>
      <c r="R997" s="87"/>
      <c r="S997" s="87"/>
      <c r="T997" s="71"/>
      <c r="U997" s="89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  <c r="AM997" s="71"/>
      <c r="AN997" s="71"/>
      <c r="AO997" s="71"/>
    </row>
    <row r="998" spans="1:41" ht="12.75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87"/>
      <c r="Q998" s="87"/>
      <c r="R998" s="87"/>
      <c r="S998" s="87"/>
      <c r="T998" s="71"/>
      <c r="U998" s="89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  <c r="AM998" s="71"/>
      <c r="AN998" s="71"/>
      <c r="AO998" s="71"/>
    </row>
    <row r="999" spans="1:41" ht="12.75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87"/>
      <c r="Q999" s="87"/>
      <c r="R999" s="87"/>
      <c r="S999" s="87"/>
      <c r="T999" s="71"/>
      <c r="U999" s="89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  <c r="AM999" s="71"/>
      <c r="AN999" s="71"/>
      <c r="AO999" s="71"/>
    </row>
    <row r="1000" spans="1:41" ht="12.75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87"/>
      <c r="Q1000" s="87"/>
      <c r="R1000" s="87"/>
      <c r="S1000" s="87"/>
      <c r="T1000" s="71"/>
      <c r="U1000" s="89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  <c r="AM1000" s="71"/>
      <c r="AN1000" s="71"/>
      <c r="AO1000" s="71"/>
    </row>
    <row r="1001" spans="1:41" ht="12.75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87"/>
      <c r="Q1001" s="87"/>
      <c r="R1001" s="87"/>
      <c r="S1001" s="87"/>
      <c r="T1001" s="71"/>
      <c r="U1001" s="89"/>
      <c r="V1001" s="71"/>
      <c r="W1001" s="71"/>
      <c r="X1001" s="71"/>
      <c r="Y1001" s="71"/>
      <c r="Z1001" s="71"/>
      <c r="AA1001" s="71"/>
      <c r="AB1001" s="71"/>
      <c r="AC1001" s="71"/>
      <c r="AD1001" s="71"/>
      <c r="AE1001" s="71"/>
      <c r="AF1001" s="71"/>
      <c r="AG1001" s="71"/>
      <c r="AH1001" s="71"/>
      <c r="AI1001" s="71"/>
      <c r="AJ1001" s="71"/>
      <c r="AK1001" s="71"/>
      <c r="AL1001" s="71"/>
      <c r="AM1001" s="71"/>
      <c r="AN1001" s="71"/>
      <c r="AO1001" s="71"/>
    </row>
    <row r="1002" spans="1:41" ht="12.75">
      <c r="A1002" s="71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87"/>
      <c r="Q1002" s="87"/>
      <c r="R1002" s="87"/>
      <c r="S1002" s="87"/>
      <c r="T1002" s="71"/>
      <c r="U1002" s="89"/>
      <c r="V1002" s="71"/>
      <c r="W1002" s="71"/>
      <c r="X1002" s="71"/>
      <c r="Y1002" s="71"/>
      <c r="Z1002" s="71"/>
      <c r="AA1002" s="71"/>
      <c r="AB1002" s="71"/>
      <c r="AC1002" s="71"/>
      <c r="AD1002" s="71"/>
      <c r="AE1002" s="71"/>
      <c r="AF1002" s="71"/>
      <c r="AG1002" s="71"/>
      <c r="AH1002" s="71"/>
      <c r="AI1002" s="71"/>
      <c r="AJ1002" s="71"/>
      <c r="AK1002" s="71"/>
      <c r="AL1002" s="71"/>
      <c r="AM1002" s="71"/>
      <c r="AN1002" s="71"/>
      <c r="AO1002" s="71"/>
    </row>
    <row r="1003" spans="1:41" ht="12.75">
      <c r="A1003" s="71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87"/>
      <c r="Q1003" s="87"/>
      <c r="R1003" s="87"/>
      <c r="S1003" s="87"/>
      <c r="T1003" s="71"/>
      <c r="U1003" s="89"/>
      <c r="V1003" s="71"/>
      <c r="W1003" s="71"/>
      <c r="X1003" s="71"/>
      <c r="Y1003" s="71"/>
      <c r="Z1003" s="71"/>
      <c r="AA1003" s="71"/>
      <c r="AB1003" s="71"/>
      <c r="AC1003" s="71"/>
      <c r="AD1003" s="71"/>
      <c r="AE1003" s="71"/>
      <c r="AF1003" s="71"/>
      <c r="AG1003" s="71"/>
      <c r="AH1003" s="71"/>
      <c r="AI1003" s="71"/>
      <c r="AJ1003" s="71"/>
      <c r="AK1003" s="71"/>
      <c r="AL1003" s="71"/>
      <c r="AM1003" s="71"/>
      <c r="AN1003" s="71"/>
      <c r="AO1003" s="71"/>
    </row>
    <row r="1004" spans="1:41" ht="12.75">
      <c r="A1004" s="71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87"/>
      <c r="Q1004" s="87"/>
      <c r="R1004" s="87"/>
      <c r="S1004" s="87"/>
      <c r="T1004" s="71"/>
      <c r="U1004" s="89"/>
      <c r="V1004" s="71"/>
      <c r="W1004" s="71"/>
      <c r="X1004" s="71"/>
      <c r="Y1004" s="71"/>
      <c r="Z1004" s="71"/>
      <c r="AA1004" s="71"/>
      <c r="AB1004" s="71"/>
      <c r="AC1004" s="71"/>
      <c r="AD1004" s="71"/>
      <c r="AE1004" s="71"/>
      <c r="AF1004" s="71"/>
      <c r="AG1004" s="71"/>
      <c r="AH1004" s="71"/>
      <c r="AI1004" s="71"/>
      <c r="AJ1004" s="71"/>
      <c r="AK1004" s="71"/>
      <c r="AL1004" s="71"/>
      <c r="AM1004" s="71"/>
      <c r="AN1004" s="71"/>
      <c r="AO1004" s="71"/>
    </row>
    <row r="1005" spans="1:41" ht="12.75">
      <c r="A1005" s="71"/>
      <c r="B1005" s="71"/>
      <c r="C1005" s="71"/>
      <c r="D1005" s="71"/>
      <c r="E1005" s="71"/>
      <c r="F1005" s="71"/>
      <c r="G1005" s="71"/>
      <c r="H1005" s="71"/>
      <c r="I1005" s="71"/>
      <c r="J1005" s="71"/>
      <c r="K1005" s="71"/>
      <c r="L1005" s="71"/>
      <c r="M1005" s="71"/>
      <c r="N1005" s="71"/>
      <c r="O1005" s="71"/>
      <c r="P1005" s="87"/>
      <c r="Q1005" s="87"/>
      <c r="R1005" s="87"/>
      <c r="S1005" s="87"/>
      <c r="T1005" s="71"/>
      <c r="U1005" s="89"/>
      <c r="V1005" s="71"/>
      <c r="W1005" s="71"/>
      <c r="X1005" s="71"/>
      <c r="Y1005" s="71"/>
      <c r="Z1005" s="71"/>
      <c r="AA1005" s="71"/>
      <c r="AB1005" s="71"/>
      <c r="AC1005" s="71"/>
      <c r="AD1005" s="71"/>
      <c r="AE1005" s="71"/>
      <c r="AF1005" s="71"/>
      <c r="AG1005" s="71"/>
      <c r="AH1005" s="71"/>
      <c r="AI1005" s="71"/>
      <c r="AJ1005" s="71"/>
      <c r="AK1005" s="71"/>
      <c r="AL1005" s="71"/>
      <c r="AM1005" s="71"/>
      <c r="AN1005" s="71"/>
      <c r="AO1005" s="71"/>
    </row>
    <row r="1006" spans="1:41" ht="12.75">
      <c r="A1006" s="71"/>
      <c r="B1006" s="71"/>
      <c r="C1006" s="71"/>
      <c r="D1006" s="71"/>
      <c r="E1006" s="71"/>
      <c r="F1006" s="71"/>
      <c r="G1006" s="71"/>
      <c r="H1006" s="71"/>
      <c r="I1006" s="71"/>
      <c r="J1006" s="71"/>
      <c r="K1006" s="71"/>
      <c r="L1006" s="71"/>
      <c r="M1006" s="71"/>
      <c r="N1006" s="71"/>
      <c r="O1006" s="71"/>
      <c r="P1006" s="87"/>
      <c r="Q1006" s="87"/>
      <c r="R1006" s="87"/>
      <c r="S1006" s="87"/>
      <c r="T1006" s="71"/>
      <c r="U1006" s="89"/>
      <c r="V1006" s="71"/>
      <c r="W1006" s="71"/>
      <c r="X1006" s="71"/>
      <c r="Y1006" s="71"/>
      <c r="Z1006" s="71"/>
      <c r="AA1006" s="71"/>
      <c r="AB1006" s="71"/>
      <c r="AC1006" s="71"/>
      <c r="AD1006" s="71"/>
      <c r="AE1006" s="71"/>
      <c r="AF1006" s="71"/>
      <c r="AG1006" s="71"/>
      <c r="AH1006" s="71"/>
      <c r="AI1006" s="71"/>
      <c r="AJ1006" s="71"/>
      <c r="AK1006" s="71"/>
      <c r="AL1006" s="71"/>
      <c r="AM1006" s="71"/>
      <c r="AN1006" s="71"/>
      <c r="AO1006" s="71"/>
    </row>
    <row r="1007" spans="1:41" ht="12.75">
      <c r="A1007" s="71"/>
      <c r="B1007" s="71"/>
      <c r="C1007" s="71"/>
      <c r="D1007" s="71"/>
      <c r="E1007" s="71"/>
      <c r="F1007" s="71"/>
      <c r="G1007" s="71"/>
      <c r="H1007" s="71"/>
      <c r="I1007" s="71"/>
      <c r="J1007" s="71"/>
      <c r="K1007" s="71"/>
      <c r="L1007" s="71"/>
      <c r="M1007" s="71"/>
      <c r="N1007" s="71"/>
      <c r="O1007" s="71"/>
      <c r="P1007" s="87"/>
      <c r="Q1007" s="87"/>
      <c r="R1007" s="87"/>
      <c r="S1007" s="87"/>
      <c r="T1007" s="71"/>
      <c r="U1007" s="89"/>
      <c r="V1007" s="71"/>
      <c r="W1007" s="71"/>
      <c r="X1007" s="71"/>
      <c r="Y1007" s="71"/>
      <c r="Z1007" s="71"/>
      <c r="AA1007" s="71"/>
      <c r="AB1007" s="71"/>
      <c r="AC1007" s="71"/>
      <c r="AD1007" s="71"/>
      <c r="AE1007" s="71"/>
      <c r="AF1007" s="71"/>
      <c r="AG1007" s="71"/>
      <c r="AH1007" s="71"/>
      <c r="AI1007" s="71"/>
      <c r="AJ1007" s="71"/>
      <c r="AK1007" s="71"/>
      <c r="AL1007" s="71"/>
      <c r="AM1007" s="71"/>
      <c r="AN1007" s="71"/>
      <c r="AO1007" s="71"/>
    </row>
    <row r="1008" spans="1:41" ht="12.75">
      <c r="A1008" s="71"/>
      <c r="B1008" s="71"/>
      <c r="C1008" s="71"/>
      <c r="D1008" s="71"/>
      <c r="E1008" s="71"/>
      <c r="F1008" s="71"/>
      <c r="G1008" s="71"/>
      <c r="H1008" s="71"/>
      <c r="I1008" s="71"/>
      <c r="J1008" s="71"/>
      <c r="K1008" s="71"/>
      <c r="L1008" s="71"/>
      <c r="M1008" s="71"/>
      <c r="N1008" s="71"/>
      <c r="O1008" s="71"/>
      <c r="P1008" s="87"/>
      <c r="Q1008" s="87"/>
      <c r="R1008" s="87"/>
      <c r="S1008" s="87"/>
      <c r="T1008" s="71"/>
      <c r="U1008" s="89"/>
      <c r="V1008" s="71"/>
      <c r="W1008" s="71"/>
      <c r="X1008" s="71"/>
      <c r="Y1008" s="71"/>
      <c r="Z1008" s="71"/>
      <c r="AA1008" s="71"/>
      <c r="AB1008" s="71"/>
      <c r="AC1008" s="71"/>
      <c r="AD1008" s="71"/>
      <c r="AE1008" s="71"/>
      <c r="AF1008" s="71"/>
      <c r="AG1008" s="71"/>
      <c r="AH1008" s="71"/>
      <c r="AI1008" s="71"/>
      <c r="AJ1008" s="71"/>
      <c r="AK1008" s="71"/>
      <c r="AL1008" s="71"/>
      <c r="AM1008" s="71"/>
      <c r="AN1008" s="71"/>
      <c r="AO1008" s="71"/>
    </row>
    <row r="1009" spans="1:41" ht="12.75">
      <c r="A1009" s="71"/>
      <c r="B1009" s="71"/>
      <c r="C1009" s="71"/>
      <c r="D1009" s="71"/>
      <c r="E1009" s="71"/>
      <c r="F1009" s="71"/>
      <c r="G1009" s="71"/>
      <c r="H1009" s="71"/>
      <c r="I1009" s="71"/>
      <c r="J1009" s="71"/>
      <c r="K1009" s="71"/>
      <c r="L1009" s="71"/>
      <c r="M1009" s="71"/>
      <c r="N1009" s="71"/>
      <c r="O1009" s="71"/>
      <c r="P1009" s="87"/>
      <c r="Q1009" s="87"/>
      <c r="R1009" s="87"/>
      <c r="S1009" s="87"/>
      <c r="T1009" s="71"/>
      <c r="U1009" s="89"/>
      <c r="V1009" s="71"/>
      <c r="W1009" s="71"/>
      <c r="X1009" s="71"/>
      <c r="Y1009" s="71"/>
      <c r="Z1009" s="71"/>
      <c r="AA1009" s="71"/>
      <c r="AB1009" s="71"/>
      <c r="AC1009" s="71"/>
      <c r="AD1009" s="71"/>
      <c r="AE1009" s="71"/>
      <c r="AF1009" s="71"/>
      <c r="AG1009" s="71"/>
      <c r="AH1009" s="71"/>
      <c r="AI1009" s="71"/>
      <c r="AJ1009" s="71"/>
      <c r="AK1009" s="71"/>
      <c r="AL1009" s="71"/>
      <c r="AM1009" s="71"/>
      <c r="AN1009" s="71"/>
      <c r="AO1009" s="71"/>
    </row>
    <row r="1010" spans="1:41" ht="12.75">
      <c r="A1010" s="71"/>
      <c r="B1010" s="71"/>
      <c r="C1010" s="71"/>
      <c r="D1010" s="71"/>
      <c r="E1010" s="71"/>
      <c r="F1010" s="71"/>
      <c r="G1010" s="71"/>
      <c r="H1010" s="71"/>
      <c r="I1010" s="71"/>
      <c r="J1010" s="71"/>
      <c r="K1010" s="71"/>
      <c r="L1010" s="71"/>
      <c r="M1010" s="71"/>
      <c r="N1010" s="71"/>
      <c r="O1010" s="71"/>
      <c r="P1010" s="87"/>
      <c r="Q1010" s="87"/>
      <c r="R1010" s="87"/>
      <c r="S1010" s="87"/>
      <c r="T1010" s="71"/>
      <c r="U1010" s="89"/>
      <c r="V1010" s="71"/>
      <c r="W1010" s="71"/>
      <c r="X1010" s="71"/>
      <c r="Y1010" s="71"/>
      <c r="Z1010" s="71"/>
      <c r="AA1010" s="71"/>
      <c r="AB1010" s="71"/>
      <c r="AC1010" s="71"/>
      <c r="AD1010" s="71"/>
      <c r="AE1010" s="71"/>
      <c r="AF1010" s="71"/>
      <c r="AG1010" s="71"/>
      <c r="AH1010" s="71"/>
      <c r="AI1010" s="71"/>
      <c r="AJ1010" s="71"/>
      <c r="AK1010" s="71"/>
      <c r="AL1010" s="71"/>
      <c r="AM1010" s="71"/>
      <c r="AN1010" s="71"/>
      <c r="AO1010" s="71"/>
    </row>
    <row r="1011" spans="1:41" ht="12.75">
      <c r="A1011" s="71"/>
      <c r="B1011" s="71"/>
      <c r="C1011" s="71"/>
      <c r="D1011" s="71"/>
      <c r="E1011" s="71"/>
      <c r="F1011" s="71"/>
      <c r="G1011" s="71"/>
      <c r="H1011" s="71"/>
      <c r="I1011" s="71"/>
      <c r="J1011" s="71"/>
      <c r="K1011" s="71"/>
      <c r="L1011" s="71"/>
      <c r="M1011" s="71"/>
      <c r="N1011" s="71"/>
      <c r="O1011" s="71"/>
      <c r="P1011" s="87"/>
      <c r="Q1011" s="87"/>
      <c r="R1011" s="87"/>
      <c r="S1011" s="87"/>
      <c r="T1011" s="71"/>
      <c r="U1011" s="89"/>
      <c r="V1011" s="71"/>
      <c r="W1011" s="71"/>
      <c r="X1011" s="71"/>
      <c r="Y1011" s="71"/>
      <c r="Z1011" s="71"/>
      <c r="AA1011" s="71"/>
      <c r="AB1011" s="71"/>
      <c r="AC1011" s="71"/>
      <c r="AD1011" s="71"/>
      <c r="AE1011" s="71"/>
      <c r="AF1011" s="71"/>
      <c r="AG1011" s="71"/>
      <c r="AH1011" s="71"/>
      <c r="AI1011" s="71"/>
      <c r="AJ1011" s="71"/>
      <c r="AK1011" s="71"/>
      <c r="AL1011" s="71"/>
      <c r="AM1011" s="71"/>
      <c r="AN1011" s="71"/>
      <c r="AO1011" s="71"/>
    </row>
    <row r="1012" spans="1:41" ht="12.75">
      <c r="A1012" s="71"/>
      <c r="B1012" s="71"/>
      <c r="C1012" s="71"/>
      <c r="D1012" s="71"/>
      <c r="E1012" s="71"/>
      <c r="F1012" s="71"/>
      <c r="G1012" s="71"/>
      <c r="H1012" s="71"/>
      <c r="I1012" s="71"/>
      <c r="J1012" s="71"/>
      <c r="K1012" s="71"/>
      <c r="L1012" s="71"/>
      <c r="M1012" s="71"/>
      <c r="N1012" s="71"/>
      <c r="O1012" s="71"/>
      <c r="P1012" s="87"/>
      <c r="Q1012" s="87"/>
      <c r="R1012" s="87"/>
      <c r="S1012" s="87"/>
      <c r="T1012" s="71"/>
      <c r="U1012" s="89"/>
      <c r="V1012" s="71"/>
      <c r="W1012" s="71"/>
      <c r="X1012" s="71"/>
      <c r="Y1012" s="71"/>
      <c r="Z1012" s="71"/>
      <c r="AA1012" s="71"/>
      <c r="AB1012" s="71"/>
      <c r="AC1012" s="71"/>
      <c r="AD1012" s="71"/>
      <c r="AE1012" s="71"/>
      <c r="AF1012" s="71"/>
      <c r="AG1012" s="71"/>
      <c r="AH1012" s="71"/>
      <c r="AI1012" s="71"/>
      <c r="AJ1012" s="71"/>
      <c r="AK1012" s="71"/>
      <c r="AL1012" s="71"/>
      <c r="AM1012" s="71"/>
      <c r="AN1012" s="71"/>
      <c r="AO1012" s="71"/>
    </row>
    <row r="1013" spans="1:41" ht="12.75">
      <c r="A1013" s="71"/>
      <c r="B1013" s="71"/>
      <c r="C1013" s="71"/>
      <c r="D1013" s="71"/>
      <c r="E1013" s="71"/>
      <c r="F1013" s="71"/>
      <c r="G1013" s="71"/>
      <c r="H1013" s="71"/>
      <c r="I1013" s="71"/>
      <c r="J1013" s="71"/>
      <c r="K1013" s="71"/>
      <c r="L1013" s="71"/>
      <c r="M1013" s="71"/>
      <c r="N1013" s="71"/>
      <c r="O1013" s="71"/>
      <c r="P1013" s="87"/>
      <c r="Q1013" s="87"/>
      <c r="R1013" s="87"/>
      <c r="S1013" s="87"/>
      <c r="T1013" s="71"/>
      <c r="U1013" s="89"/>
      <c r="V1013" s="71"/>
      <c r="W1013" s="71"/>
      <c r="X1013" s="71"/>
      <c r="Y1013" s="71"/>
      <c r="Z1013" s="71"/>
      <c r="AA1013" s="71"/>
      <c r="AB1013" s="71"/>
      <c r="AC1013" s="71"/>
      <c r="AD1013" s="71"/>
      <c r="AE1013" s="71"/>
      <c r="AF1013" s="71"/>
      <c r="AG1013" s="71"/>
      <c r="AH1013" s="71"/>
      <c r="AI1013" s="71"/>
      <c r="AJ1013" s="71"/>
      <c r="AK1013" s="71"/>
      <c r="AL1013" s="71"/>
      <c r="AM1013" s="71"/>
      <c r="AN1013" s="71"/>
      <c r="AO1013" s="71"/>
    </row>
    <row r="1014" spans="1:41" ht="12.75">
      <c r="A1014" s="71"/>
      <c r="B1014" s="71"/>
      <c r="C1014" s="71"/>
      <c r="D1014" s="71"/>
      <c r="E1014" s="71"/>
      <c r="F1014" s="71"/>
      <c r="G1014" s="71"/>
      <c r="H1014" s="71"/>
      <c r="I1014" s="71"/>
      <c r="J1014" s="71"/>
      <c r="K1014" s="71"/>
      <c r="L1014" s="71"/>
      <c r="M1014" s="71"/>
      <c r="N1014" s="71"/>
      <c r="O1014" s="71"/>
      <c r="P1014" s="87"/>
      <c r="Q1014" s="87"/>
      <c r="R1014" s="87"/>
      <c r="S1014" s="87"/>
      <c r="T1014" s="71"/>
      <c r="U1014" s="89"/>
      <c r="V1014" s="71"/>
      <c r="W1014" s="71"/>
      <c r="X1014" s="71"/>
      <c r="Y1014" s="71"/>
      <c r="Z1014" s="71"/>
      <c r="AA1014" s="71"/>
      <c r="AB1014" s="71"/>
      <c r="AC1014" s="71"/>
      <c r="AD1014" s="71"/>
      <c r="AE1014" s="71"/>
      <c r="AF1014" s="71"/>
      <c r="AG1014" s="71"/>
      <c r="AH1014" s="71"/>
      <c r="AI1014" s="71"/>
      <c r="AJ1014" s="71"/>
      <c r="AK1014" s="71"/>
      <c r="AL1014" s="71"/>
      <c r="AM1014" s="71"/>
      <c r="AN1014" s="71"/>
      <c r="AO1014" s="71"/>
    </row>
    <row r="1015" spans="1:41" ht="12.75">
      <c r="A1015" s="71"/>
      <c r="B1015" s="71"/>
      <c r="C1015" s="71"/>
      <c r="D1015" s="71"/>
      <c r="E1015" s="71"/>
      <c r="F1015" s="71"/>
      <c r="G1015" s="71"/>
      <c r="H1015" s="71"/>
      <c r="I1015" s="71"/>
      <c r="J1015" s="71"/>
      <c r="K1015" s="71"/>
      <c r="L1015" s="71"/>
      <c r="M1015" s="71"/>
      <c r="N1015" s="71"/>
      <c r="O1015" s="71"/>
      <c r="P1015" s="87"/>
      <c r="Q1015" s="87"/>
      <c r="R1015" s="87"/>
      <c r="S1015" s="87"/>
      <c r="T1015" s="71"/>
      <c r="U1015" s="89"/>
      <c r="V1015" s="71"/>
      <c r="W1015" s="71"/>
      <c r="X1015" s="71"/>
      <c r="Y1015" s="71"/>
      <c r="Z1015" s="71"/>
      <c r="AA1015" s="71"/>
      <c r="AB1015" s="71"/>
      <c r="AC1015" s="71"/>
      <c r="AD1015" s="71"/>
      <c r="AE1015" s="71"/>
      <c r="AF1015" s="71"/>
      <c r="AG1015" s="71"/>
      <c r="AH1015" s="71"/>
      <c r="AI1015" s="71"/>
      <c r="AJ1015" s="71"/>
      <c r="AK1015" s="71"/>
      <c r="AL1015" s="71"/>
      <c r="AM1015" s="71"/>
      <c r="AN1015" s="71"/>
      <c r="AO1015" s="71"/>
    </row>
    <row r="1016" spans="1:41" ht="12.75">
      <c r="A1016" s="71"/>
      <c r="B1016" s="71"/>
      <c r="C1016" s="71"/>
      <c r="D1016" s="71"/>
      <c r="E1016" s="71"/>
      <c r="F1016" s="71"/>
      <c r="G1016" s="71"/>
      <c r="H1016" s="71"/>
      <c r="I1016" s="71"/>
      <c r="J1016" s="71"/>
      <c r="K1016" s="71"/>
      <c r="L1016" s="71"/>
      <c r="M1016" s="71"/>
      <c r="N1016" s="71"/>
      <c r="O1016" s="71"/>
      <c r="P1016" s="87"/>
      <c r="Q1016" s="87"/>
      <c r="R1016" s="87"/>
      <c r="S1016" s="87"/>
      <c r="T1016" s="71"/>
      <c r="U1016" s="89"/>
      <c r="V1016" s="71"/>
      <c r="W1016" s="71"/>
      <c r="X1016" s="71"/>
      <c r="Y1016" s="71"/>
      <c r="Z1016" s="71"/>
      <c r="AA1016" s="71"/>
      <c r="AB1016" s="71"/>
      <c r="AC1016" s="71"/>
      <c r="AD1016" s="71"/>
      <c r="AE1016" s="71"/>
      <c r="AF1016" s="71"/>
      <c r="AG1016" s="71"/>
      <c r="AH1016" s="71"/>
      <c r="AI1016" s="71"/>
      <c r="AJ1016" s="71"/>
      <c r="AK1016" s="71"/>
      <c r="AL1016" s="71"/>
      <c r="AM1016" s="71"/>
      <c r="AN1016" s="71"/>
      <c r="AO1016" s="71"/>
    </row>
    <row r="1017" spans="1:41" ht="12.75">
      <c r="A1017" s="71"/>
      <c r="B1017" s="71"/>
      <c r="C1017" s="71"/>
      <c r="D1017" s="71"/>
      <c r="E1017" s="71"/>
      <c r="F1017" s="71"/>
      <c r="G1017" s="71"/>
      <c r="H1017" s="71"/>
      <c r="I1017" s="71"/>
      <c r="J1017" s="71"/>
      <c r="K1017" s="71"/>
      <c r="L1017" s="71"/>
      <c r="M1017" s="71"/>
      <c r="N1017" s="71"/>
      <c r="O1017" s="71"/>
      <c r="P1017" s="87"/>
      <c r="Q1017" s="87"/>
      <c r="R1017" s="87"/>
      <c r="S1017" s="87"/>
      <c r="T1017" s="71"/>
      <c r="U1017" s="89"/>
      <c r="V1017" s="71"/>
      <c r="W1017" s="71"/>
      <c r="X1017" s="71"/>
      <c r="Y1017" s="71"/>
      <c r="Z1017" s="71"/>
      <c r="AA1017" s="71"/>
      <c r="AB1017" s="71"/>
      <c r="AC1017" s="71"/>
      <c r="AD1017" s="71"/>
      <c r="AE1017" s="71"/>
      <c r="AF1017" s="71"/>
      <c r="AG1017" s="71"/>
      <c r="AH1017" s="71"/>
      <c r="AI1017" s="71"/>
      <c r="AJ1017" s="71"/>
      <c r="AK1017" s="71"/>
      <c r="AL1017" s="71"/>
      <c r="AM1017" s="71"/>
      <c r="AN1017" s="71"/>
      <c r="AO1017" s="71"/>
    </row>
    <row r="1018" spans="1:41" ht="12.75">
      <c r="A1018" s="71"/>
      <c r="B1018" s="71"/>
      <c r="C1018" s="71"/>
      <c r="D1018" s="71"/>
      <c r="E1018" s="71"/>
      <c r="F1018" s="71"/>
      <c r="G1018" s="71"/>
      <c r="H1018" s="71"/>
      <c r="I1018" s="71"/>
      <c r="J1018" s="71"/>
      <c r="K1018" s="71"/>
      <c r="L1018" s="71"/>
      <c r="M1018" s="71"/>
      <c r="N1018" s="71"/>
      <c r="O1018" s="71"/>
      <c r="P1018" s="87"/>
      <c r="Q1018" s="87"/>
      <c r="R1018" s="87"/>
      <c r="S1018" s="87"/>
      <c r="T1018" s="71"/>
      <c r="U1018" s="89"/>
      <c r="V1018" s="71"/>
      <c r="W1018" s="71"/>
      <c r="X1018" s="71"/>
      <c r="Y1018" s="71"/>
      <c r="Z1018" s="71"/>
      <c r="AA1018" s="71"/>
      <c r="AB1018" s="71"/>
      <c r="AC1018" s="71"/>
      <c r="AD1018" s="71"/>
      <c r="AE1018" s="71"/>
      <c r="AF1018" s="71"/>
      <c r="AG1018" s="71"/>
      <c r="AH1018" s="71"/>
      <c r="AI1018" s="71"/>
      <c r="AJ1018" s="71"/>
      <c r="AK1018" s="71"/>
      <c r="AL1018" s="71"/>
      <c r="AM1018" s="71"/>
      <c r="AN1018" s="71"/>
      <c r="AO1018" s="71"/>
    </row>
    <row r="1019" spans="1:41" ht="12.75">
      <c r="A1019" s="71"/>
      <c r="B1019" s="71"/>
      <c r="C1019" s="71"/>
      <c r="D1019" s="71"/>
      <c r="E1019" s="71"/>
      <c r="F1019" s="71"/>
      <c r="G1019" s="71"/>
      <c r="H1019" s="71"/>
      <c r="I1019" s="71"/>
      <c r="J1019" s="71"/>
      <c r="K1019" s="71"/>
      <c r="L1019" s="71"/>
      <c r="M1019" s="71"/>
      <c r="N1019" s="71"/>
      <c r="O1019" s="71"/>
      <c r="P1019" s="87"/>
      <c r="Q1019" s="87"/>
      <c r="R1019" s="87"/>
      <c r="S1019" s="87"/>
      <c r="T1019" s="71"/>
      <c r="U1019" s="89"/>
      <c r="V1019" s="71"/>
      <c r="W1019" s="71"/>
      <c r="X1019" s="71"/>
      <c r="Y1019" s="71"/>
      <c r="Z1019" s="71"/>
      <c r="AA1019" s="71"/>
      <c r="AB1019" s="71"/>
      <c r="AC1019" s="71"/>
      <c r="AD1019" s="71"/>
      <c r="AE1019" s="71"/>
      <c r="AF1019" s="71"/>
      <c r="AG1019" s="71"/>
      <c r="AH1019" s="71"/>
      <c r="AI1019" s="71"/>
      <c r="AJ1019" s="71"/>
      <c r="AK1019" s="71"/>
      <c r="AL1019" s="71"/>
      <c r="AM1019" s="71"/>
      <c r="AN1019" s="71"/>
      <c r="AO1019" s="71"/>
    </row>
    <row r="1020" spans="1:41" ht="12.75">
      <c r="A1020" s="71"/>
      <c r="B1020" s="71"/>
      <c r="C1020" s="71"/>
      <c r="D1020" s="71"/>
      <c r="E1020" s="71"/>
      <c r="F1020" s="71"/>
      <c r="G1020" s="71"/>
      <c r="H1020" s="71"/>
      <c r="I1020" s="71"/>
      <c r="J1020" s="71"/>
      <c r="K1020" s="71"/>
      <c r="L1020" s="71"/>
      <c r="M1020" s="71"/>
      <c r="N1020" s="71"/>
      <c r="O1020" s="71"/>
      <c r="P1020" s="87"/>
      <c r="Q1020" s="87"/>
      <c r="R1020" s="87"/>
      <c r="S1020" s="87"/>
      <c r="T1020" s="71"/>
      <c r="U1020" s="89"/>
      <c r="V1020" s="71"/>
      <c r="W1020" s="71"/>
      <c r="X1020" s="71"/>
      <c r="Y1020" s="71"/>
      <c r="Z1020" s="71"/>
      <c r="AA1020" s="71"/>
      <c r="AB1020" s="71"/>
      <c r="AC1020" s="71"/>
      <c r="AD1020" s="71"/>
      <c r="AE1020" s="71"/>
      <c r="AF1020" s="71"/>
      <c r="AG1020" s="71"/>
      <c r="AH1020" s="71"/>
      <c r="AI1020" s="71"/>
      <c r="AJ1020" s="71"/>
      <c r="AK1020" s="71"/>
      <c r="AL1020" s="71"/>
      <c r="AM1020" s="71"/>
      <c r="AN1020" s="71"/>
      <c r="AO1020" s="71"/>
    </row>
    <row r="1021" spans="1:41" ht="12.75">
      <c r="A1021" s="71"/>
      <c r="B1021" s="71"/>
      <c r="C1021" s="71"/>
      <c r="D1021" s="71"/>
      <c r="E1021" s="71"/>
      <c r="F1021" s="71"/>
      <c r="G1021" s="71"/>
      <c r="H1021" s="71"/>
      <c r="I1021" s="71"/>
      <c r="J1021" s="71"/>
      <c r="K1021" s="71"/>
      <c r="L1021" s="71"/>
      <c r="M1021" s="71"/>
      <c r="N1021" s="71"/>
      <c r="O1021" s="71"/>
      <c r="P1021" s="87"/>
      <c r="Q1021" s="87"/>
      <c r="R1021" s="87"/>
      <c r="S1021" s="87"/>
      <c r="T1021" s="71"/>
      <c r="U1021" s="89"/>
      <c r="V1021" s="71"/>
      <c r="W1021" s="71"/>
      <c r="X1021" s="71"/>
      <c r="Y1021" s="71"/>
      <c r="Z1021" s="71"/>
      <c r="AA1021" s="71"/>
      <c r="AB1021" s="71"/>
      <c r="AC1021" s="71"/>
      <c r="AD1021" s="71"/>
      <c r="AE1021" s="71"/>
      <c r="AF1021" s="71"/>
      <c r="AG1021" s="71"/>
      <c r="AH1021" s="71"/>
      <c r="AI1021" s="71"/>
      <c r="AJ1021" s="71"/>
      <c r="AK1021" s="71"/>
      <c r="AL1021" s="71"/>
      <c r="AM1021" s="71"/>
      <c r="AN1021" s="71"/>
      <c r="AO1021" s="71"/>
    </row>
    <row r="1022" spans="1:41" ht="12.75">
      <c r="A1022" s="71"/>
      <c r="B1022" s="71"/>
      <c r="C1022" s="71"/>
      <c r="D1022" s="71"/>
      <c r="E1022" s="71"/>
      <c r="F1022" s="71"/>
      <c r="G1022" s="71"/>
      <c r="H1022" s="71"/>
      <c r="I1022" s="71"/>
      <c r="J1022" s="71"/>
      <c r="K1022" s="71"/>
      <c r="L1022" s="71"/>
      <c r="M1022" s="71"/>
      <c r="N1022" s="71"/>
      <c r="O1022" s="71"/>
      <c r="P1022" s="87"/>
      <c r="Q1022" s="87"/>
      <c r="R1022" s="87"/>
      <c r="S1022" s="87"/>
      <c r="T1022" s="71"/>
      <c r="U1022" s="89"/>
      <c r="V1022" s="71"/>
      <c r="W1022" s="71"/>
      <c r="X1022" s="71"/>
      <c r="Y1022" s="71"/>
      <c r="Z1022" s="71"/>
      <c r="AA1022" s="71"/>
      <c r="AB1022" s="71"/>
      <c r="AC1022" s="71"/>
      <c r="AD1022" s="71"/>
      <c r="AE1022" s="71"/>
      <c r="AF1022" s="71"/>
      <c r="AG1022" s="71"/>
      <c r="AH1022" s="71"/>
      <c r="AI1022" s="71"/>
      <c r="AJ1022" s="71"/>
      <c r="AK1022" s="71"/>
      <c r="AL1022" s="71"/>
      <c r="AM1022" s="71"/>
      <c r="AN1022" s="71"/>
      <c r="AO1022" s="71"/>
    </row>
    <row r="1023" spans="1:41" ht="12.75">
      <c r="A1023" s="71"/>
      <c r="B1023" s="71"/>
      <c r="C1023" s="71"/>
      <c r="D1023" s="71"/>
      <c r="E1023" s="71"/>
      <c r="F1023" s="71"/>
      <c r="G1023" s="71"/>
      <c r="H1023" s="71"/>
      <c r="I1023" s="71"/>
      <c r="J1023" s="71"/>
      <c r="K1023" s="71"/>
      <c r="L1023" s="71"/>
      <c r="M1023" s="71"/>
      <c r="N1023" s="71"/>
      <c r="O1023" s="71"/>
      <c r="P1023" s="87"/>
      <c r="Q1023" s="87"/>
      <c r="R1023" s="87"/>
      <c r="S1023" s="87"/>
      <c r="T1023" s="71"/>
      <c r="U1023" s="89"/>
      <c r="V1023" s="71"/>
      <c r="W1023" s="71"/>
      <c r="X1023" s="71"/>
      <c r="Y1023" s="71"/>
      <c r="Z1023" s="71"/>
      <c r="AA1023" s="71"/>
      <c r="AB1023" s="71"/>
      <c r="AC1023" s="71"/>
      <c r="AD1023" s="71"/>
      <c r="AE1023" s="71"/>
      <c r="AF1023" s="71"/>
      <c r="AG1023" s="71"/>
      <c r="AH1023" s="71"/>
      <c r="AI1023" s="71"/>
      <c r="AJ1023" s="71"/>
      <c r="AK1023" s="71"/>
      <c r="AL1023" s="71"/>
      <c r="AM1023" s="71"/>
      <c r="AN1023" s="71"/>
      <c r="AO1023" s="71"/>
    </row>
    <row r="1024" spans="1:41" ht="12.75">
      <c r="A1024" s="71"/>
      <c r="B1024" s="71"/>
      <c r="C1024" s="71"/>
      <c r="D1024" s="71"/>
      <c r="E1024" s="71"/>
      <c r="F1024" s="71"/>
      <c r="G1024" s="71"/>
      <c r="H1024" s="71"/>
      <c r="I1024" s="71"/>
      <c r="J1024" s="71"/>
      <c r="K1024" s="71"/>
      <c r="L1024" s="71"/>
      <c r="M1024" s="71"/>
      <c r="N1024" s="71"/>
      <c r="O1024" s="71"/>
      <c r="P1024" s="87"/>
      <c r="Q1024" s="87"/>
      <c r="R1024" s="87"/>
      <c r="S1024" s="87"/>
      <c r="T1024" s="71"/>
      <c r="U1024" s="89"/>
      <c r="V1024" s="71"/>
      <c r="W1024" s="71"/>
      <c r="X1024" s="71"/>
      <c r="Y1024" s="71"/>
      <c r="Z1024" s="71"/>
      <c r="AA1024" s="71"/>
      <c r="AB1024" s="71"/>
      <c r="AC1024" s="71"/>
      <c r="AD1024" s="71"/>
      <c r="AE1024" s="71"/>
      <c r="AF1024" s="71"/>
      <c r="AG1024" s="71"/>
      <c r="AH1024" s="71"/>
      <c r="AI1024" s="71"/>
      <c r="AJ1024" s="71"/>
      <c r="AK1024" s="71"/>
      <c r="AL1024" s="71"/>
      <c r="AM1024" s="71"/>
      <c r="AN1024" s="71"/>
      <c r="AO1024" s="71"/>
    </row>
    <row r="1025" spans="17:41" ht="12.75">
      <c r="Q1025" s="87"/>
      <c r="R1025" s="87"/>
      <c r="V1025" s="71"/>
      <c r="W1025" s="71"/>
      <c r="X1025" s="71"/>
      <c r="Y1025" s="71"/>
      <c r="Z1025" s="71"/>
      <c r="AA1025" s="71"/>
      <c r="AB1025" s="71"/>
      <c r="AC1025" s="71"/>
      <c r="AD1025" s="71"/>
      <c r="AE1025" s="71"/>
      <c r="AF1025" s="71"/>
      <c r="AG1025" s="71"/>
      <c r="AH1025" s="71"/>
      <c r="AI1025" s="71"/>
      <c r="AJ1025" s="71"/>
      <c r="AK1025" s="71"/>
      <c r="AL1025" s="71"/>
      <c r="AM1025" s="71"/>
      <c r="AN1025" s="71"/>
      <c r="AO1025" s="71"/>
    </row>
    <row r="1026" spans="17:41" ht="12.75">
      <c r="V1026" s="71"/>
      <c r="W1026" s="71"/>
      <c r="X1026" s="71"/>
      <c r="Y1026" s="71"/>
      <c r="Z1026" s="71"/>
      <c r="AA1026" s="71"/>
      <c r="AB1026" s="71"/>
      <c r="AC1026" s="71"/>
      <c r="AD1026" s="71"/>
      <c r="AE1026" s="71"/>
      <c r="AF1026" s="71"/>
      <c r="AG1026" s="71"/>
      <c r="AH1026" s="71"/>
      <c r="AI1026" s="71"/>
      <c r="AJ1026" s="71"/>
      <c r="AK1026" s="71"/>
      <c r="AL1026" s="71"/>
      <c r="AM1026" s="71"/>
      <c r="AN1026" s="71"/>
      <c r="AO1026" s="71"/>
    </row>
    <row r="1027" spans="17:41" ht="12.75">
      <c r="V1027" s="71"/>
      <c r="W1027" s="71"/>
      <c r="X1027" s="71"/>
      <c r="Y1027" s="71"/>
      <c r="Z1027" s="71"/>
      <c r="AA1027" s="71"/>
      <c r="AB1027" s="71"/>
      <c r="AC1027" s="71"/>
      <c r="AD1027" s="71"/>
      <c r="AE1027" s="71"/>
      <c r="AF1027" s="71"/>
      <c r="AG1027" s="71"/>
      <c r="AH1027" s="71"/>
      <c r="AI1027" s="71"/>
      <c r="AJ1027" s="71"/>
      <c r="AK1027" s="71"/>
      <c r="AL1027" s="71"/>
      <c r="AM1027" s="71"/>
      <c r="AN1027" s="71"/>
      <c r="AO1027" s="71"/>
    </row>
    <row r="1028" spans="17:41" ht="12.75">
      <c r="V1028" s="71"/>
      <c r="W1028" s="71"/>
      <c r="X1028" s="71"/>
      <c r="Y1028" s="71"/>
      <c r="Z1028" s="71"/>
      <c r="AA1028" s="71"/>
      <c r="AB1028" s="71"/>
      <c r="AC1028" s="71"/>
      <c r="AD1028" s="71"/>
      <c r="AE1028" s="71"/>
      <c r="AF1028" s="71"/>
      <c r="AG1028" s="71"/>
      <c r="AH1028" s="71"/>
      <c r="AI1028" s="71"/>
      <c r="AJ1028" s="71"/>
      <c r="AK1028" s="71"/>
      <c r="AL1028" s="71"/>
      <c r="AM1028" s="71"/>
      <c r="AN1028" s="71"/>
      <c r="AO1028" s="71"/>
    </row>
    <row r="1029" spans="17:41" ht="12.75">
      <c r="V1029" s="71"/>
      <c r="W1029" s="71"/>
      <c r="X1029" s="71"/>
      <c r="Y1029" s="71"/>
      <c r="Z1029" s="71"/>
      <c r="AA1029" s="71"/>
      <c r="AB1029" s="71"/>
      <c r="AC1029" s="71"/>
      <c r="AD1029" s="71"/>
      <c r="AE1029" s="71"/>
      <c r="AF1029" s="71"/>
      <c r="AG1029" s="71"/>
      <c r="AH1029" s="71"/>
      <c r="AI1029" s="71"/>
      <c r="AJ1029" s="71"/>
      <c r="AK1029" s="71"/>
      <c r="AL1029" s="71"/>
      <c r="AM1029" s="71"/>
      <c r="AN1029" s="71"/>
      <c r="AO1029" s="71"/>
    </row>
    <row r="1030" spans="17:41" ht="12.75">
      <c r="V1030" s="71"/>
      <c r="W1030" s="71"/>
      <c r="X1030" s="71"/>
      <c r="Y1030" s="71"/>
      <c r="Z1030" s="71"/>
      <c r="AA1030" s="71"/>
      <c r="AB1030" s="71"/>
      <c r="AC1030" s="71"/>
      <c r="AD1030" s="71"/>
      <c r="AE1030" s="71"/>
      <c r="AF1030" s="71"/>
      <c r="AG1030" s="71"/>
      <c r="AH1030" s="71"/>
      <c r="AI1030" s="71"/>
      <c r="AJ1030" s="71"/>
      <c r="AK1030" s="71"/>
      <c r="AL1030" s="71"/>
      <c r="AM1030" s="71"/>
      <c r="AN1030" s="71"/>
      <c r="AO1030" s="71"/>
    </row>
    <row r="1031" spans="17:41" ht="12.75">
      <c r="V1031" s="71"/>
      <c r="W1031" s="71"/>
      <c r="X1031" s="71"/>
      <c r="Y1031" s="71"/>
      <c r="Z1031" s="71"/>
      <c r="AA1031" s="71"/>
      <c r="AB1031" s="71"/>
      <c r="AC1031" s="71"/>
      <c r="AD1031" s="71"/>
      <c r="AE1031" s="71"/>
      <c r="AF1031" s="71"/>
      <c r="AG1031" s="71"/>
      <c r="AH1031" s="71"/>
      <c r="AI1031" s="71"/>
      <c r="AJ1031" s="71"/>
      <c r="AK1031" s="71"/>
      <c r="AL1031" s="71"/>
      <c r="AM1031" s="71"/>
      <c r="AN1031" s="71"/>
      <c r="AO1031" s="71"/>
    </row>
    <row r="1032" spans="17:41" ht="12.75">
      <c r="V1032" s="71"/>
      <c r="W1032" s="71"/>
      <c r="X1032" s="71"/>
      <c r="Y1032" s="71"/>
      <c r="Z1032" s="71"/>
      <c r="AA1032" s="71"/>
      <c r="AB1032" s="71"/>
      <c r="AC1032" s="71"/>
      <c r="AD1032" s="71"/>
      <c r="AE1032" s="71"/>
      <c r="AF1032" s="71"/>
      <c r="AG1032" s="71"/>
      <c r="AH1032" s="71"/>
      <c r="AI1032" s="71"/>
      <c r="AJ1032" s="71"/>
      <c r="AK1032" s="71"/>
      <c r="AL1032" s="71"/>
      <c r="AM1032" s="71"/>
      <c r="AN1032" s="71"/>
      <c r="AO1032" s="71"/>
    </row>
    <row r="1033" spans="17:41" ht="12.75">
      <c r="V1033" s="71"/>
      <c r="W1033" s="71"/>
      <c r="X1033" s="71"/>
      <c r="Y1033" s="71"/>
      <c r="Z1033" s="71"/>
      <c r="AA1033" s="71"/>
      <c r="AB1033" s="71"/>
      <c r="AC1033" s="71"/>
      <c r="AD1033" s="71"/>
      <c r="AE1033" s="71"/>
      <c r="AF1033" s="71"/>
      <c r="AG1033" s="71"/>
      <c r="AH1033" s="71"/>
      <c r="AI1033" s="71"/>
      <c r="AJ1033" s="71"/>
      <c r="AK1033" s="71"/>
      <c r="AL1033" s="71"/>
      <c r="AM1033" s="71"/>
      <c r="AN1033" s="71"/>
      <c r="AO1033" s="71"/>
    </row>
    <row r="1034" spans="17:41" ht="12.75">
      <c r="V1034" s="71"/>
      <c r="W1034" s="71"/>
      <c r="X1034" s="71"/>
      <c r="Y1034" s="71"/>
      <c r="Z1034" s="71"/>
      <c r="AA1034" s="71"/>
      <c r="AB1034" s="71"/>
      <c r="AC1034" s="71"/>
      <c r="AD1034" s="71"/>
      <c r="AE1034" s="71"/>
      <c r="AF1034" s="71"/>
      <c r="AG1034" s="71"/>
      <c r="AH1034" s="71"/>
      <c r="AI1034" s="71"/>
      <c r="AJ1034" s="71"/>
      <c r="AK1034" s="71"/>
      <c r="AL1034" s="71"/>
      <c r="AM1034" s="71"/>
      <c r="AN1034" s="71"/>
      <c r="AO1034" s="71"/>
    </row>
    <row r="1035" spans="17:41" ht="12.75">
      <c r="V1035" s="71"/>
      <c r="W1035" s="71"/>
      <c r="X1035" s="71"/>
      <c r="Y1035" s="71"/>
      <c r="Z1035" s="71"/>
      <c r="AA1035" s="71"/>
      <c r="AB1035" s="71"/>
      <c r="AC1035" s="71"/>
      <c r="AD1035" s="71"/>
      <c r="AE1035" s="71"/>
      <c r="AF1035" s="71"/>
      <c r="AG1035" s="71"/>
      <c r="AH1035" s="71"/>
      <c r="AI1035" s="71"/>
      <c r="AJ1035" s="71"/>
      <c r="AK1035" s="71"/>
      <c r="AL1035" s="71"/>
      <c r="AM1035" s="71"/>
      <c r="AN1035" s="71"/>
      <c r="AO1035" s="71"/>
    </row>
    <row r="1036" spans="17:41" ht="12.75">
      <c r="V1036" s="71"/>
      <c r="W1036" s="71"/>
      <c r="X1036" s="71"/>
      <c r="Y1036" s="71"/>
      <c r="Z1036" s="71"/>
      <c r="AA1036" s="71"/>
      <c r="AB1036" s="71"/>
      <c r="AC1036" s="71"/>
      <c r="AD1036" s="71"/>
      <c r="AE1036" s="71"/>
      <c r="AF1036" s="71"/>
      <c r="AG1036" s="71"/>
      <c r="AH1036" s="71"/>
      <c r="AI1036" s="71"/>
      <c r="AJ1036" s="71"/>
      <c r="AK1036" s="71"/>
      <c r="AL1036" s="71"/>
      <c r="AM1036" s="71"/>
      <c r="AN1036" s="71"/>
      <c r="AO1036" s="71"/>
    </row>
    <row r="1037" spans="17:41" ht="12.75">
      <c r="V1037" s="71"/>
      <c r="W1037" s="71"/>
      <c r="X1037" s="71"/>
      <c r="Y1037" s="71"/>
      <c r="Z1037" s="71"/>
      <c r="AA1037" s="71"/>
      <c r="AB1037" s="71"/>
      <c r="AC1037" s="71"/>
      <c r="AD1037" s="71"/>
      <c r="AE1037" s="71"/>
      <c r="AF1037" s="71"/>
      <c r="AG1037" s="71"/>
      <c r="AH1037" s="71"/>
      <c r="AI1037" s="71"/>
      <c r="AJ1037" s="71"/>
      <c r="AK1037" s="71"/>
      <c r="AL1037" s="71"/>
      <c r="AM1037" s="71"/>
      <c r="AN1037" s="71"/>
      <c r="AO1037" s="71"/>
    </row>
    <row r="1038" spans="17:41" ht="12.75">
      <c r="V1038" s="71"/>
      <c r="W1038" s="71"/>
      <c r="X1038" s="71"/>
      <c r="Y1038" s="71"/>
      <c r="Z1038" s="71"/>
      <c r="AA1038" s="71"/>
      <c r="AB1038" s="71"/>
      <c r="AC1038" s="71"/>
      <c r="AD1038" s="71"/>
      <c r="AE1038" s="71"/>
      <c r="AF1038" s="71"/>
      <c r="AG1038" s="71"/>
      <c r="AH1038" s="71"/>
      <c r="AI1038" s="71"/>
      <c r="AJ1038" s="71"/>
      <c r="AK1038" s="71"/>
      <c r="AL1038" s="71"/>
      <c r="AM1038" s="71"/>
      <c r="AN1038" s="71"/>
      <c r="AO1038" s="71"/>
    </row>
    <row r="1039" spans="17:41" ht="12.75">
      <c r="V1039" s="71"/>
      <c r="W1039" s="71"/>
      <c r="X1039" s="71"/>
      <c r="Y1039" s="71"/>
      <c r="Z1039" s="71"/>
      <c r="AA1039" s="71"/>
      <c r="AB1039" s="71"/>
      <c r="AC1039" s="71"/>
      <c r="AD1039" s="71"/>
      <c r="AE1039" s="71"/>
      <c r="AF1039" s="71"/>
      <c r="AG1039" s="71"/>
      <c r="AH1039" s="71"/>
      <c r="AI1039" s="71"/>
      <c r="AJ1039" s="71"/>
      <c r="AK1039" s="71"/>
      <c r="AL1039" s="71"/>
      <c r="AM1039" s="71"/>
      <c r="AN1039" s="71"/>
      <c r="AO1039" s="71"/>
    </row>
    <row r="1040" spans="17:41" ht="12.75">
      <c r="V1040" s="71"/>
      <c r="W1040" s="71"/>
      <c r="X1040" s="71"/>
      <c r="Y1040" s="71"/>
      <c r="Z1040" s="71"/>
      <c r="AA1040" s="71"/>
      <c r="AB1040" s="71"/>
      <c r="AC1040" s="71"/>
      <c r="AD1040" s="71"/>
      <c r="AE1040" s="71"/>
      <c r="AF1040" s="71"/>
      <c r="AG1040" s="71"/>
      <c r="AH1040" s="71"/>
      <c r="AI1040" s="71"/>
      <c r="AJ1040" s="71"/>
      <c r="AK1040" s="71"/>
      <c r="AL1040" s="71"/>
      <c r="AM1040" s="71"/>
      <c r="AN1040" s="71"/>
      <c r="AO1040" s="71"/>
    </row>
  </sheetData>
  <mergeCells count="22">
    <mergeCell ref="E34:G34"/>
    <mergeCell ref="H34:K34"/>
    <mergeCell ref="E52:G52"/>
    <mergeCell ref="H52:L52"/>
    <mergeCell ref="A54:O54"/>
    <mergeCell ref="E70:H70"/>
    <mergeCell ref="I70:O70"/>
    <mergeCell ref="E73:J73"/>
    <mergeCell ref="L73:N73"/>
    <mergeCell ref="E88:K88"/>
    <mergeCell ref="L88:N88"/>
    <mergeCell ref="H8:I8"/>
    <mergeCell ref="H9:I9"/>
    <mergeCell ref="A1:A14"/>
    <mergeCell ref="B1:C1"/>
    <mergeCell ref="E1:F1"/>
    <mergeCell ref="H1:I1"/>
    <mergeCell ref="B7:C7"/>
    <mergeCell ref="E7:G7"/>
    <mergeCell ref="H7:I7"/>
    <mergeCell ref="H10:I10"/>
    <mergeCell ref="H11:I11"/>
  </mergeCells>
  <conditionalFormatting sqref="M1:O16 S15:T15 T18:U24 M18:M26 N18:O27 S18:S30 R18:R32 V20:V24 L20:L32 P23:Q32 M39:M50 P57:P68 O75:O86">
    <cfRule type="cellIs" dxfId="4" priority="2" operator="greaterThan">
      <formula>0</formula>
    </cfRule>
  </conditionalFormatting>
  <conditionalFormatting sqref="M1:O16 T19:U24 M19:M26 N19:O27 S19:S30 V20:V24 L20:L32 P23:Q32 M39:M50 P57:P68 O75:O86">
    <cfRule type="cellIs" dxfId="3" priority="5" operator="lessThan">
      <formula>0</formula>
    </cfRule>
  </conditionalFormatting>
  <conditionalFormatting sqref="R3:R22">
    <cfRule type="cellIs" dxfId="2" priority="3" operator="greaterThanOrEqual">
      <formula>0</formula>
    </cfRule>
  </conditionalFormatting>
  <conditionalFormatting sqref="R3:R32">
    <cfRule type="cellIs" dxfId="1" priority="4" operator="lessThan">
      <formula>0</formula>
    </cfRule>
  </conditionalFormatting>
  <conditionalFormatting sqref="V27:V28">
    <cfRule type="cellIs" dxfId="0" priority="1" operator="equal">
      <formula>0</formula>
    </cfRule>
  </conditionalFormatting>
  <printOptions horizontalCentered="1" gridLines="1"/>
  <pageMargins left="0.19685039370078738" right="0.19685039370078738" top="0.39370078740157477" bottom="0.19685039370078738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372"/>
  <sheetViews>
    <sheetView tabSelected="1" workbookViewId="0">
      <pane ySplit="6" topLeftCell="A7" activePane="bottomLeft" state="frozen"/>
      <selection pane="bottomLeft" activeCell="A2" sqref="A2"/>
    </sheetView>
  </sheetViews>
  <sheetFormatPr baseColWidth="10" defaultColWidth="12.5703125" defaultRowHeight="15.75" customHeight="1"/>
  <cols>
    <col min="1" max="1" width="11.7109375" customWidth="1"/>
    <col min="2" max="2" width="6" customWidth="1"/>
    <col min="3" max="3" width="12" customWidth="1"/>
    <col min="4" max="4" width="11.28515625" customWidth="1"/>
    <col min="5" max="6" width="12.5703125" customWidth="1"/>
    <col min="7" max="7" width="11.28515625" customWidth="1"/>
    <col min="8" max="8" width="11.140625" customWidth="1"/>
    <col min="9" max="9" width="12.5703125" customWidth="1"/>
    <col min="10" max="11" width="11" customWidth="1"/>
    <col min="12" max="12" width="10.140625" customWidth="1"/>
    <col min="13" max="13" width="12.5703125" customWidth="1"/>
    <col min="14" max="14" width="13.42578125" customWidth="1"/>
    <col min="15" max="15" width="10.7109375" customWidth="1"/>
    <col min="16" max="16" width="11" customWidth="1"/>
    <col min="17" max="17" width="12.85546875" customWidth="1"/>
    <col min="18" max="18" width="10.5703125" customWidth="1"/>
    <col min="19" max="19" width="14.42578125" customWidth="1"/>
    <col min="20" max="20" width="11.85546875" customWidth="1"/>
    <col min="21" max="21" width="9.140625" customWidth="1"/>
    <col min="22" max="22" width="9.85546875" customWidth="1"/>
    <col min="23" max="23" width="14" customWidth="1"/>
    <col min="24" max="26" width="10" customWidth="1"/>
  </cols>
  <sheetData>
    <row r="1" spans="1:26" ht="15.75" customHeight="1">
      <c r="A1" s="481" t="s">
        <v>614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6"/>
      <c r="S1" s="456"/>
      <c r="T1" s="456"/>
      <c r="U1" s="456"/>
      <c r="V1" s="123"/>
      <c r="W1" s="124"/>
      <c r="X1" s="123"/>
      <c r="Y1" s="123"/>
      <c r="Z1" s="123"/>
    </row>
    <row r="2" spans="1:26" ht="15.75" customHeight="1">
      <c r="A2" s="125"/>
      <c r="B2" s="126"/>
      <c r="C2" s="127"/>
      <c r="D2" s="128"/>
      <c r="E2" s="127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9"/>
      <c r="U2" s="128"/>
      <c r="V2" s="123"/>
      <c r="W2" s="124"/>
      <c r="X2" s="123"/>
      <c r="Y2" s="123"/>
      <c r="Z2" s="123"/>
    </row>
    <row r="3" spans="1:26" ht="22.5" customHeight="1">
      <c r="A3" s="130"/>
      <c r="B3" s="131"/>
      <c r="C3" s="132"/>
      <c r="D3" s="132"/>
      <c r="F3" s="132"/>
      <c r="G3" s="132"/>
      <c r="H3" s="132"/>
      <c r="I3" s="482" t="s">
        <v>118</v>
      </c>
      <c r="J3" s="476"/>
      <c r="K3" s="476"/>
      <c r="L3" s="476"/>
      <c r="M3" s="476"/>
      <c r="N3" s="476"/>
      <c r="O3" s="476"/>
      <c r="P3" s="483" t="s">
        <v>119</v>
      </c>
      <c r="Q3" s="476"/>
      <c r="R3" s="476"/>
      <c r="S3" s="483" t="s">
        <v>120</v>
      </c>
      <c r="T3" s="476"/>
      <c r="U3" s="477"/>
      <c r="V3" s="132"/>
      <c r="W3" s="133"/>
      <c r="X3" s="132"/>
      <c r="Y3" s="132"/>
      <c r="Z3" s="132"/>
    </row>
    <row r="4" spans="1:26" ht="22.5" customHeight="1">
      <c r="A4" s="484" t="s">
        <v>121</v>
      </c>
      <c r="B4" s="456"/>
      <c r="C4" s="134">
        <f>SUM(C7:C372)</f>
        <v>0</v>
      </c>
      <c r="D4" s="135" t="s">
        <v>122</v>
      </c>
      <c r="E4" s="134">
        <f>SUM(D7:D372)</f>
        <v>0</v>
      </c>
      <c r="F4" s="136">
        <f>C4-E4</f>
        <v>0</v>
      </c>
      <c r="G4" s="137">
        <f t="shared" ref="G4:H4" si="0">SUBTOTAL(9,G7:G372)</f>
        <v>0</v>
      </c>
      <c r="H4" s="138">
        <f t="shared" si="0"/>
        <v>0</v>
      </c>
      <c r="I4" s="139">
        <f t="shared" ref="I4:U4" si="1">SUM(I7:I372)</f>
        <v>0</v>
      </c>
      <c r="J4" s="140">
        <f t="shared" si="1"/>
        <v>0</v>
      </c>
      <c r="K4" s="140">
        <f t="shared" si="1"/>
        <v>0</v>
      </c>
      <c r="L4" s="140">
        <f t="shared" si="1"/>
        <v>0</v>
      </c>
      <c r="M4" s="140">
        <f t="shared" si="1"/>
        <v>0</v>
      </c>
      <c r="N4" s="141">
        <f t="shared" si="1"/>
        <v>0</v>
      </c>
      <c r="O4" s="142">
        <f t="shared" si="1"/>
        <v>0</v>
      </c>
      <c r="P4" s="139">
        <f t="shared" si="1"/>
        <v>0</v>
      </c>
      <c r="Q4" s="141">
        <f t="shared" si="1"/>
        <v>0</v>
      </c>
      <c r="R4" s="142">
        <f t="shared" si="1"/>
        <v>0</v>
      </c>
      <c r="S4" s="139">
        <f t="shared" si="1"/>
        <v>0</v>
      </c>
      <c r="T4" s="141">
        <f t="shared" si="1"/>
        <v>0</v>
      </c>
      <c r="U4" s="142">
        <f t="shared" si="1"/>
        <v>0</v>
      </c>
      <c r="V4" s="143"/>
      <c r="W4" s="144"/>
      <c r="X4" s="143"/>
      <c r="Y4" s="143"/>
      <c r="Z4" s="143"/>
    </row>
    <row r="5" spans="1:26" ht="22.5" customHeight="1">
      <c r="A5" s="480" t="s">
        <v>123</v>
      </c>
      <c r="B5" s="456"/>
      <c r="C5" s="134" t="e">
        <f>C4/COUNTIF(C7:C372,"&gt;0")</f>
        <v>#DIV/0!</v>
      </c>
      <c r="D5" s="135" t="s">
        <v>37</v>
      </c>
      <c r="E5" s="134">
        <f t="shared" ref="E5:F5" si="2">SUM(E7:E372)</f>
        <v>0</v>
      </c>
      <c r="F5" s="136">
        <f t="shared" si="2"/>
        <v>0</v>
      </c>
      <c r="G5" s="145"/>
      <c r="H5" s="99"/>
      <c r="I5" s="146"/>
      <c r="J5" s="99"/>
      <c r="K5" s="99"/>
      <c r="L5" s="99"/>
      <c r="M5" s="99"/>
      <c r="N5" s="99"/>
      <c r="O5" s="147"/>
      <c r="P5" s="99"/>
      <c r="Q5" s="99"/>
      <c r="R5" s="147"/>
      <c r="S5" s="99"/>
      <c r="T5" s="59"/>
      <c r="U5" s="147"/>
      <c r="W5" s="148"/>
    </row>
    <row r="6" spans="1:26" ht="22.5" customHeight="1">
      <c r="A6" s="149" t="s">
        <v>124</v>
      </c>
      <c r="B6" s="150"/>
      <c r="C6" s="151" t="s">
        <v>125</v>
      </c>
      <c r="D6" s="151" t="s">
        <v>126</v>
      </c>
      <c r="E6" s="151" t="s">
        <v>37</v>
      </c>
      <c r="F6" s="152" t="s">
        <v>127</v>
      </c>
      <c r="G6" s="153" t="s">
        <v>128</v>
      </c>
      <c r="H6" s="154" t="s">
        <v>129</v>
      </c>
      <c r="I6" s="155" t="s">
        <v>130</v>
      </c>
      <c r="J6" s="156" t="s">
        <v>131</v>
      </c>
      <c r="K6" s="156" t="s">
        <v>132</v>
      </c>
      <c r="L6" s="156" t="s">
        <v>133</v>
      </c>
      <c r="M6" s="156" t="s">
        <v>134</v>
      </c>
      <c r="N6" s="156" t="s">
        <v>135</v>
      </c>
      <c r="O6" s="157" t="s">
        <v>136</v>
      </c>
      <c r="P6" s="156" t="s">
        <v>137</v>
      </c>
      <c r="Q6" s="156" t="s">
        <v>138</v>
      </c>
      <c r="R6" s="157" t="s">
        <v>139</v>
      </c>
      <c r="S6" s="156" t="s">
        <v>72</v>
      </c>
      <c r="T6" s="158" t="s">
        <v>140</v>
      </c>
      <c r="U6" s="157" t="s">
        <v>141</v>
      </c>
      <c r="V6" s="159"/>
      <c r="X6" s="159"/>
      <c r="Y6" s="159"/>
      <c r="Z6" s="159"/>
    </row>
    <row r="7" spans="1:26" ht="22.5" customHeight="1">
      <c r="A7" s="160">
        <v>45041</v>
      </c>
      <c r="B7" s="161" t="s">
        <v>142</v>
      </c>
      <c r="C7" s="162">
        <f t="shared" ref="C7:C261" si="3">I7+P7+S7</f>
        <v>0</v>
      </c>
      <c r="D7" s="162">
        <f t="shared" ref="D7:E7" si="4">N7+Q7+T7</f>
        <v>0</v>
      </c>
      <c r="E7" s="163">
        <f t="shared" si="4"/>
        <v>0</v>
      </c>
      <c r="F7" s="164">
        <f t="shared" ref="F7:F261" si="5">D7*0.4</f>
        <v>0</v>
      </c>
      <c r="G7" s="163"/>
      <c r="H7" s="163"/>
      <c r="I7" s="165"/>
      <c r="J7" s="163"/>
      <c r="K7" s="163"/>
      <c r="L7" s="163"/>
      <c r="M7" s="163">
        <f t="shared" ref="M7:M95" si="6">I7+J7-K7-L7</f>
        <v>0</v>
      </c>
      <c r="N7" s="163"/>
      <c r="O7" s="166">
        <f t="shared" ref="O7:O95" si="7">M7-N7</f>
        <v>0</v>
      </c>
      <c r="P7" s="163"/>
      <c r="Q7" s="163"/>
      <c r="R7" s="166">
        <f t="shared" ref="R7:R95" si="8">P7-Q7</f>
        <v>0</v>
      </c>
      <c r="S7" s="163"/>
      <c r="T7" s="163"/>
      <c r="U7" s="167">
        <f t="shared" ref="U7:U95" si="9">S7-T7</f>
        <v>0</v>
      </c>
      <c r="W7" s="148"/>
    </row>
    <row r="8" spans="1:26" ht="22.5" customHeight="1">
      <c r="A8" s="160">
        <v>45042</v>
      </c>
      <c r="B8" s="161" t="s">
        <v>143</v>
      </c>
      <c r="C8" s="162">
        <f t="shared" si="3"/>
        <v>0</v>
      </c>
      <c r="D8" s="162">
        <f t="shared" ref="D8:E8" si="10">N8+Q8+T8</f>
        <v>0</v>
      </c>
      <c r="E8" s="163">
        <f t="shared" si="10"/>
        <v>0</v>
      </c>
      <c r="F8" s="164">
        <f t="shared" si="5"/>
        <v>0</v>
      </c>
      <c r="G8" s="163"/>
      <c r="H8" s="163"/>
      <c r="I8" s="165"/>
      <c r="J8" s="163"/>
      <c r="K8" s="163"/>
      <c r="L8" s="163"/>
      <c r="M8" s="163">
        <f t="shared" si="6"/>
        <v>0</v>
      </c>
      <c r="N8" s="163"/>
      <c r="O8" s="166">
        <f t="shared" si="7"/>
        <v>0</v>
      </c>
      <c r="P8" s="163"/>
      <c r="Q8" s="163"/>
      <c r="R8" s="166">
        <f t="shared" si="8"/>
        <v>0</v>
      </c>
      <c r="S8" s="163"/>
      <c r="T8" s="163"/>
      <c r="U8" s="167">
        <f t="shared" si="9"/>
        <v>0</v>
      </c>
      <c r="W8" s="148"/>
    </row>
    <row r="9" spans="1:26" ht="22.5" customHeight="1">
      <c r="A9" s="160">
        <v>45043</v>
      </c>
      <c r="B9" s="161" t="s">
        <v>144</v>
      </c>
      <c r="C9" s="162">
        <f t="shared" si="3"/>
        <v>0</v>
      </c>
      <c r="D9" s="162">
        <f t="shared" ref="D9:E9" si="11">N9+Q9+T9</f>
        <v>0</v>
      </c>
      <c r="E9" s="163">
        <f t="shared" si="11"/>
        <v>0</v>
      </c>
      <c r="F9" s="164">
        <f t="shared" si="5"/>
        <v>0</v>
      </c>
      <c r="G9" s="163"/>
      <c r="H9" s="163"/>
      <c r="I9" s="165"/>
      <c r="J9" s="163"/>
      <c r="K9" s="163"/>
      <c r="L9" s="163"/>
      <c r="M9" s="163">
        <f t="shared" si="6"/>
        <v>0</v>
      </c>
      <c r="N9" s="163"/>
      <c r="O9" s="166">
        <f t="shared" si="7"/>
        <v>0</v>
      </c>
      <c r="P9" s="163"/>
      <c r="Q9" s="163"/>
      <c r="R9" s="166">
        <f t="shared" si="8"/>
        <v>0</v>
      </c>
      <c r="S9" s="163"/>
      <c r="T9" s="163"/>
      <c r="U9" s="167">
        <f t="shared" si="9"/>
        <v>0</v>
      </c>
      <c r="W9" s="148"/>
    </row>
    <row r="10" spans="1:26" ht="22.5" customHeight="1">
      <c r="A10" s="160">
        <v>45044</v>
      </c>
      <c r="B10" s="161" t="s">
        <v>145</v>
      </c>
      <c r="C10" s="162">
        <f t="shared" si="3"/>
        <v>0</v>
      </c>
      <c r="D10" s="162">
        <f t="shared" ref="D10:E10" si="12">N10+Q10+T10</f>
        <v>0</v>
      </c>
      <c r="E10" s="163">
        <f t="shared" si="12"/>
        <v>0</v>
      </c>
      <c r="F10" s="164">
        <f t="shared" si="5"/>
        <v>0</v>
      </c>
      <c r="G10" s="163"/>
      <c r="H10" s="163"/>
      <c r="I10" s="165"/>
      <c r="J10" s="163"/>
      <c r="K10" s="163"/>
      <c r="L10" s="163"/>
      <c r="M10" s="163">
        <f t="shared" si="6"/>
        <v>0</v>
      </c>
      <c r="N10" s="163"/>
      <c r="O10" s="166">
        <f t="shared" si="7"/>
        <v>0</v>
      </c>
      <c r="P10" s="163"/>
      <c r="Q10" s="163"/>
      <c r="R10" s="166">
        <f t="shared" si="8"/>
        <v>0</v>
      </c>
      <c r="S10" s="163"/>
      <c r="T10" s="163"/>
      <c r="U10" s="167">
        <f t="shared" si="9"/>
        <v>0</v>
      </c>
    </row>
    <row r="11" spans="1:26" ht="22.5" customHeight="1">
      <c r="A11" s="160">
        <v>45045</v>
      </c>
      <c r="B11" s="161" t="s">
        <v>146</v>
      </c>
      <c r="C11" s="162">
        <f t="shared" si="3"/>
        <v>0</v>
      </c>
      <c r="D11" s="162">
        <f t="shared" ref="D11:E11" si="13">N11+Q11+T11</f>
        <v>0</v>
      </c>
      <c r="E11" s="163">
        <f t="shared" si="13"/>
        <v>0</v>
      </c>
      <c r="F11" s="164">
        <f t="shared" si="5"/>
        <v>0</v>
      </c>
      <c r="G11" s="163"/>
      <c r="H11" s="163"/>
      <c r="I11" s="165"/>
      <c r="J11" s="163"/>
      <c r="K11" s="163"/>
      <c r="L11" s="163"/>
      <c r="M11" s="163">
        <f t="shared" si="6"/>
        <v>0</v>
      </c>
      <c r="N11" s="163"/>
      <c r="O11" s="166">
        <f t="shared" si="7"/>
        <v>0</v>
      </c>
      <c r="P11" s="163"/>
      <c r="Q11" s="163"/>
      <c r="R11" s="166">
        <f t="shared" si="8"/>
        <v>0</v>
      </c>
      <c r="S11" s="163"/>
      <c r="T11" s="168"/>
      <c r="U11" s="167">
        <f t="shared" si="9"/>
        <v>0</v>
      </c>
    </row>
    <row r="12" spans="1:26" ht="22.5" customHeight="1">
      <c r="A12" s="160">
        <v>45046</v>
      </c>
      <c r="B12" s="161" t="s">
        <v>147</v>
      </c>
      <c r="C12" s="162">
        <f t="shared" si="3"/>
        <v>0</v>
      </c>
      <c r="D12" s="162">
        <f t="shared" ref="D12:E12" si="14">N12+Q12+T12</f>
        <v>0</v>
      </c>
      <c r="E12" s="163">
        <f t="shared" si="14"/>
        <v>0</v>
      </c>
      <c r="F12" s="164">
        <f t="shared" si="5"/>
        <v>0</v>
      </c>
      <c r="G12" s="163"/>
      <c r="H12" s="166"/>
      <c r="I12" s="163"/>
      <c r="J12" s="163"/>
      <c r="K12" s="163"/>
      <c r="L12" s="163"/>
      <c r="M12" s="163">
        <f t="shared" si="6"/>
        <v>0</v>
      </c>
      <c r="N12" s="163"/>
      <c r="O12" s="166">
        <f t="shared" si="7"/>
        <v>0</v>
      </c>
      <c r="P12" s="163"/>
      <c r="Q12" s="163"/>
      <c r="R12" s="166">
        <f t="shared" si="8"/>
        <v>0</v>
      </c>
      <c r="S12" s="163"/>
      <c r="T12" s="163"/>
      <c r="U12" s="167">
        <f t="shared" si="9"/>
        <v>0</v>
      </c>
    </row>
    <row r="13" spans="1:26" ht="22.5" customHeight="1">
      <c r="A13" s="160">
        <v>45047</v>
      </c>
      <c r="B13" s="161" t="s">
        <v>148</v>
      </c>
      <c r="C13" s="162">
        <f t="shared" si="3"/>
        <v>0</v>
      </c>
      <c r="D13" s="162">
        <f t="shared" ref="D13:E13" si="15">N13+Q13+T13</f>
        <v>0</v>
      </c>
      <c r="E13" s="163">
        <f t="shared" si="15"/>
        <v>0</v>
      </c>
      <c r="F13" s="164">
        <f t="shared" si="5"/>
        <v>0</v>
      </c>
      <c r="G13" s="163"/>
      <c r="H13" s="163"/>
      <c r="I13" s="165"/>
      <c r="J13" s="163"/>
      <c r="K13" s="163"/>
      <c r="L13" s="163"/>
      <c r="M13" s="163">
        <f t="shared" si="6"/>
        <v>0</v>
      </c>
      <c r="N13" s="163"/>
      <c r="O13" s="166">
        <f t="shared" si="7"/>
        <v>0</v>
      </c>
      <c r="P13" s="163"/>
      <c r="Q13" s="163"/>
      <c r="R13" s="166">
        <f t="shared" si="8"/>
        <v>0</v>
      </c>
      <c r="S13" s="163"/>
      <c r="T13" s="163"/>
      <c r="U13" s="167">
        <f t="shared" si="9"/>
        <v>0</v>
      </c>
      <c r="W13" s="148"/>
    </row>
    <row r="14" spans="1:26" ht="22.5" customHeight="1">
      <c r="A14" s="160">
        <v>45048</v>
      </c>
      <c r="B14" s="161" t="s">
        <v>142</v>
      </c>
      <c r="C14" s="162">
        <f t="shared" si="3"/>
        <v>0</v>
      </c>
      <c r="D14" s="162">
        <f t="shared" ref="D14:E14" si="16">N14+Q14+T14</f>
        <v>0</v>
      </c>
      <c r="E14" s="163">
        <f t="shared" si="16"/>
        <v>0</v>
      </c>
      <c r="F14" s="164">
        <f t="shared" si="5"/>
        <v>0</v>
      </c>
      <c r="G14" s="163"/>
      <c r="H14" s="163"/>
      <c r="I14" s="165"/>
      <c r="J14" s="163"/>
      <c r="K14" s="163"/>
      <c r="L14" s="163"/>
      <c r="M14" s="163">
        <f t="shared" si="6"/>
        <v>0</v>
      </c>
      <c r="N14" s="163"/>
      <c r="O14" s="166">
        <f t="shared" si="7"/>
        <v>0</v>
      </c>
      <c r="P14" s="163"/>
      <c r="Q14" s="163"/>
      <c r="R14" s="166">
        <f t="shared" si="8"/>
        <v>0</v>
      </c>
      <c r="S14" s="163"/>
      <c r="T14" s="163"/>
      <c r="U14" s="167">
        <f t="shared" si="9"/>
        <v>0</v>
      </c>
      <c r="W14" s="148"/>
    </row>
    <row r="15" spans="1:26" ht="22.5" customHeight="1">
      <c r="A15" s="160">
        <v>45049</v>
      </c>
      <c r="B15" s="161" t="s">
        <v>143</v>
      </c>
      <c r="C15" s="162">
        <f t="shared" si="3"/>
        <v>0</v>
      </c>
      <c r="D15" s="162">
        <f t="shared" ref="D15:E15" si="17">N15+Q15+T15</f>
        <v>0</v>
      </c>
      <c r="E15" s="163">
        <f t="shared" si="17"/>
        <v>0</v>
      </c>
      <c r="F15" s="164">
        <f t="shared" si="5"/>
        <v>0</v>
      </c>
      <c r="G15" s="163"/>
      <c r="H15" s="163"/>
      <c r="I15" s="165"/>
      <c r="J15" s="163"/>
      <c r="K15" s="163"/>
      <c r="L15" s="163"/>
      <c r="M15" s="163">
        <f t="shared" si="6"/>
        <v>0</v>
      </c>
      <c r="N15" s="163"/>
      <c r="O15" s="166">
        <f t="shared" si="7"/>
        <v>0</v>
      </c>
      <c r="P15" s="163"/>
      <c r="Q15" s="163"/>
      <c r="R15" s="166">
        <f t="shared" si="8"/>
        <v>0</v>
      </c>
      <c r="S15" s="163"/>
      <c r="T15" s="163"/>
      <c r="U15" s="167">
        <f t="shared" si="9"/>
        <v>0</v>
      </c>
      <c r="W15" s="148"/>
    </row>
    <row r="16" spans="1:26" ht="22.5" customHeight="1">
      <c r="A16" s="160">
        <v>45050</v>
      </c>
      <c r="B16" s="161" t="s">
        <v>144</v>
      </c>
      <c r="C16" s="162">
        <f t="shared" si="3"/>
        <v>0</v>
      </c>
      <c r="D16" s="162">
        <f t="shared" ref="D16:E16" si="18">N16+Q16+T16</f>
        <v>0</v>
      </c>
      <c r="E16" s="163">
        <f t="shared" si="18"/>
        <v>0</v>
      </c>
      <c r="F16" s="164">
        <f t="shared" si="5"/>
        <v>0</v>
      </c>
      <c r="G16" s="163"/>
      <c r="H16" s="163"/>
      <c r="I16" s="165"/>
      <c r="J16" s="163"/>
      <c r="K16" s="163"/>
      <c r="L16" s="163"/>
      <c r="M16" s="163">
        <f t="shared" si="6"/>
        <v>0</v>
      </c>
      <c r="N16" s="163"/>
      <c r="O16" s="166">
        <f t="shared" si="7"/>
        <v>0</v>
      </c>
      <c r="P16" s="163"/>
      <c r="Q16" s="163"/>
      <c r="R16" s="166">
        <f t="shared" si="8"/>
        <v>0</v>
      </c>
      <c r="S16" s="163"/>
      <c r="T16" s="163"/>
      <c r="U16" s="167">
        <f t="shared" si="9"/>
        <v>0</v>
      </c>
      <c r="W16" s="148"/>
    </row>
    <row r="17" spans="1:23" ht="22.5" customHeight="1">
      <c r="A17" s="160">
        <v>45051</v>
      </c>
      <c r="B17" s="161" t="s">
        <v>145</v>
      </c>
      <c r="C17" s="162">
        <f t="shared" si="3"/>
        <v>0</v>
      </c>
      <c r="D17" s="162">
        <f t="shared" ref="D17:E17" si="19">N17+Q17+T17</f>
        <v>0</v>
      </c>
      <c r="E17" s="163">
        <f t="shared" si="19"/>
        <v>0</v>
      </c>
      <c r="F17" s="164">
        <f t="shared" si="5"/>
        <v>0</v>
      </c>
      <c r="G17" s="163"/>
      <c r="H17" s="163"/>
      <c r="I17" s="165"/>
      <c r="J17" s="163"/>
      <c r="K17" s="163"/>
      <c r="L17" s="163"/>
      <c r="M17" s="163">
        <f t="shared" si="6"/>
        <v>0</v>
      </c>
      <c r="N17" s="163"/>
      <c r="O17" s="166">
        <f t="shared" si="7"/>
        <v>0</v>
      </c>
      <c r="P17" s="163"/>
      <c r="Q17" s="163"/>
      <c r="R17" s="166">
        <f t="shared" si="8"/>
        <v>0</v>
      </c>
      <c r="S17" s="163"/>
      <c r="T17" s="163"/>
      <c r="U17" s="167">
        <f t="shared" si="9"/>
        <v>0</v>
      </c>
      <c r="W17" s="148"/>
    </row>
    <row r="18" spans="1:23" ht="22.5" customHeight="1">
      <c r="A18" s="160">
        <v>45052</v>
      </c>
      <c r="B18" s="161" t="s">
        <v>146</v>
      </c>
      <c r="C18" s="162">
        <f t="shared" si="3"/>
        <v>0</v>
      </c>
      <c r="D18" s="162">
        <f t="shared" ref="D18:E18" si="20">N18+Q18+T18</f>
        <v>0</v>
      </c>
      <c r="E18" s="163">
        <f t="shared" si="20"/>
        <v>0</v>
      </c>
      <c r="F18" s="164">
        <f t="shared" si="5"/>
        <v>0</v>
      </c>
      <c r="G18" s="163"/>
      <c r="H18" s="163"/>
      <c r="I18" s="165"/>
      <c r="J18" s="163"/>
      <c r="K18" s="163"/>
      <c r="L18" s="163"/>
      <c r="M18" s="163">
        <f t="shared" si="6"/>
        <v>0</v>
      </c>
      <c r="N18" s="163"/>
      <c r="O18" s="166">
        <f t="shared" si="7"/>
        <v>0</v>
      </c>
      <c r="P18" s="163"/>
      <c r="Q18" s="163"/>
      <c r="R18" s="166">
        <f t="shared" si="8"/>
        <v>0</v>
      </c>
      <c r="S18" s="163"/>
      <c r="T18" s="163"/>
      <c r="U18" s="167">
        <f t="shared" si="9"/>
        <v>0</v>
      </c>
      <c r="W18" s="148"/>
    </row>
    <row r="19" spans="1:23" ht="22.5" customHeight="1">
      <c r="A19" s="160">
        <v>45053</v>
      </c>
      <c r="B19" s="161" t="s">
        <v>147</v>
      </c>
      <c r="C19" s="162">
        <f t="shared" si="3"/>
        <v>0</v>
      </c>
      <c r="D19" s="162">
        <f t="shared" ref="D19:E19" si="21">N19+Q19+T19</f>
        <v>0</v>
      </c>
      <c r="E19" s="163">
        <f t="shared" si="21"/>
        <v>0</v>
      </c>
      <c r="F19" s="164">
        <f t="shared" si="5"/>
        <v>0</v>
      </c>
      <c r="G19" s="163"/>
      <c r="H19" s="163"/>
      <c r="I19" s="165"/>
      <c r="J19" s="163"/>
      <c r="K19" s="163"/>
      <c r="L19" s="163"/>
      <c r="M19" s="163">
        <f t="shared" si="6"/>
        <v>0</v>
      </c>
      <c r="N19" s="163"/>
      <c r="O19" s="166">
        <f t="shared" si="7"/>
        <v>0</v>
      </c>
      <c r="P19" s="163"/>
      <c r="Q19" s="163"/>
      <c r="R19" s="166">
        <f t="shared" si="8"/>
        <v>0</v>
      </c>
      <c r="S19" s="163"/>
      <c r="T19" s="163"/>
      <c r="U19" s="167">
        <f t="shared" si="9"/>
        <v>0</v>
      </c>
      <c r="W19" s="148"/>
    </row>
    <row r="20" spans="1:23" ht="22.5" customHeight="1">
      <c r="A20" s="160">
        <v>45054</v>
      </c>
      <c r="B20" s="161" t="s">
        <v>148</v>
      </c>
      <c r="C20" s="162">
        <f t="shared" si="3"/>
        <v>0</v>
      </c>
      <c r="D20" s="162">
        <f t="shared" ref="D20:E20" si="22">N20+Q20+T20</f>
        <v>0</v>
      </c>
      <c r="E20" s="163">
        <f t="shared" si="22"/>
        <v>0</v>
      </c>
      <c r="F20" s="164">
        <f t="shared" si="5"/>
        <v>0</v>
      </c>
      <c r="G20" s="163"/>
      <c r="H20" s="163"/>
      <c r="I20" s="165"/>
      <c r="J20" s="169"/>
      <c r="K20" s="169"/>
      <c r="L20" s="169"/>
      <c r="M20" s="163">
        <f t="shared" si="6"/>
        <v>0</v>
      </c>
      <c r="N20" s="163"/>
      <c r="O20" s="166">
        <f t="shared" si="7"/>
        <v>0</v>
      </c>
      <c r="P20" s="169"/>
      <c r="Q20" s="163"/>
      <c r="R20" s="166">
        <f t="shared" si="8"/>
        <v>0</v>
      </c>
      <c r="S20" s="169"/>
      <c r="T20" s="163"/>
      <c r="U20" s="167">
        <f t="shared" si="9"/>
        <v>0</v>
      </c>
      <c r="W20" s="148"/>
    </row>
    <row r="21" spans="1:23" ht="22.5" customHeight="1">
      <c r="A21" s="160">
        <v>45055</v>
      </c>
      <c r="B21" s="161" t="s">
        <v>142</v>
      </c>
      <c r="C21" s="162">
        <f t="shared" si="3"/>
        <v>0</v>
      </c>
      <c r="D21" s="162">
        <f t="shared" ref="D21:E21" si="23">N21+Q21+T21</f>
        <v>0</v>
      </c>
      <c r="E21" s="163">
        <f t="shared" si="23"/>
        <v>0</v>
      </c>
      <c r="F21" s="164">
        <f t="shared" si="5"/>
        <v>0</v>
      </c>
      <c r="G21" s="163"/>
      <c r="H21" s="163"/>
      <c r="I21" s="165"/>
      <c r="J21" s="169"/>
      <c r="K21" s="169"/>
      <c r="L21" s="169"/>
      <c r="M21" s="163">
        <f t="shared" si="6"/>
        <v>0</v>
      </c>
      <c r="N21" s="163"/>
      <c r="O21" s="166">
        <f t="shared" si="7"/>
        <v>0</v>
      </c>
      <c r="P21" s="169"/>
      <c r="Q21" s="163"/>
      <c r="R21" s="166">
        <f t="shared" si="8"/>
        <v>0</v>
      </c>
      <c r="S21" s="169"/>
      <c r="T21" s="163"/>
      <c r="U21" s="167">
        <f t="shared" si="9"/>
        <v>0</v>
      </c>
      <c r="W21" s="148"/>
    </row>
    <row r="22" spans="1:23" ht="22.5" customHeight="1">
      <c r="A22" s="160">
        <v>45056</v>
      </c>
      <c r="B22" s="161" t="s">
        <v>143</v>
      </c>
      <c r="C22" s="162">
        <f t="shared" si="3"/>
        <v>0</v>
      </c>
      <c r="D22" s="162">
        <f t="shared" ref="D22:E22" si="24">N22+Q22+T22</f>
        <v>0</v>
      </c>
      <c r="E22" s="163">
        <f t="shared" si="24"/>
        <v>0</v>
      </c>
      <c r="F22" s="164">
        <f t="shared" si="5"/>
        <v>0</v>
      </c>
      <c r="G22" s="163"/>
      <c r="H22" s="163"/>
      <c r="I22" s="165"/>
      <c r="J22" s="169"/>
      <c r="K22" s="169"/>
      <c r="L22" s="169"/>
      <c r="M22" s="163">
        <f t="shared" si="6"/>
        <v>0</v>
      </c>
      <c r="N22" s="163"/>
      <c r="O22" s="166">
        <f t="shared" si="7"/>
        <v>0</v>
      </c>
      <c r="P22" s="169"/>
      <c r="Q22" s="163"/>
      <c r="R22" s="166">
        <f t="shared" si="8"/>
        <v>0</v>
      </c>
      <c r="S22" s="169"/>
      <c r="T22" s="163"/>
      <c r="U22" s="167">
        <f t="shared" si="9"/>
        <v>0</v>
      </c>
      <c r="W22" s="148"/>
    </row>
    <row r="23" spans="1:23" ht="22.5" customHeight="1">
      <c r="A23" s="160">
        <v>45057</v>
      </c>
      <c r="B23" s="161" t="s">
        <v>144</v>
      </c>
      <c r="C23" s="162">
        <f t="shared" si="3"/>
        <v>0</v>
      </c>
      <c r="D23" s="162">
        <f t="shared" ref="D23:E23" si="25">N23+Q23+T23</f>
        <v>0</v>
      </c>
      <c r="E23" s="163">
        <f t="shared" si="25"/>
        <v>0</v>
      </c>
      <c r="F23" s="164">
        <f t="shared" si="5"/>
        <v>0</v>
      </c>
      <c r="G23" s="163"/>
      <c r="H23" s="163"/>
      <c r="I23" s="165"/>
      <c r="J23" s="169"/>
      <c r="K23" s="169"/>
      <c r="L23" s="169"/>
      <c r="M23" s="163">
        <f t="shared" si="6"/>
        <v>0</v>
      </c>
      <c r="N23" s="163"/>
      <c r="O23" s="166">
        <f t="shared" si="7"/>
        <v>0</v>
      </c>
      <c r="P23" s="169"/>
      <c r="Q23" s="163"/>
      <c r="R23" s="166">
        <f t="shared" si="8"/>
        <v>0</v>
      </c>
      <c r="S23" s="169"/>
      <c r="T23" s="163"/>
      <c r="U23" s="167">
        <f t="shared" si="9"/>
        <v>0</v>
      </c>
      <c r="W23" s="148"/>
    </row>
    <row r="24" spans="1:23" ht="22.5" customHeight="1">
      <c r="A24" s="160">
        <v>45058</v>
      </c>
      <c r="B24" s="161" t="s">
        <v>145</v>
      </c>
      <c r="C24" s="162">
        <f t="shared" si="3"/>
        <v>0</v>
      </c>
      <c r="D24" s="162">
        <f t="shared" ref="D24:E24" si="26">N24+Q24+T24</f>
        <v>0</v>
      </c>
      <c r="E24" s="163">
        <f t="shared" si="26"/>
        <v>0</v>
      </c>
      <c r="F24" s="164">
        <f t="shared" si="5"/>
        <v>0</v>
      </c>
      <c r="G24" s="163"/>
      <c r="H24" s="163"/>
      <c r="I24" s="165"/>
      <c r="J24" s="169"/>
      <c r="K24" s="169"/>
      <c r="L24" s="169"/>
      <c r="M24" s="163">
        <f t="shared" si="6"/>
        <v>0</v>
      </c>
      <c r="N24" s="163"/>
      <c r="O24" s="166">
        <f t="shared" si="7"/>
        <v>0</v>
      </c>
      <c r="P24" s="169"/>
      <c r="Q24" s="163"/>
      <c r="R24" s="166">
        <f t="shared" si="8"/>
        <v>0</v>
      </c>
      <c r="S24" s="169"/>
      <c r="T24" s="163"/>
      <c r="U24" s="167">
        <f t="shared" si="9"/>
        <v>0</v>
      </c>
      <c r="W24" s="148"/>
    </row>
    <row r="25" spans="1:23" ht="22.5" customHeight="1">
      <c r="A25" s="160">
        <v>45059</v>
      </c>
      <c r="B25" s="161" t="s">
        <v>146</v>
      </c>
      <c r="C25" s="162">
        <f t="shared" si="3"/>
        <v>0</v>
      </c>
      <c r="D25" s="162">
        <f t="shared" ref="D25:E25" si="27">N25+Q25+T25</f>
        <v>0</v>
      </c>
      <c r="E25" s="163">
        <f t="shared" si="27"/>
        <v>0</v>
      </c>
      <c r="F25" s="164">
        <f t="shared" si="5"/>
        <v>0</v>
      </c>
      <c r="G25" s="163"/>
      <c r="H25" s="163"/>
      <c r="I25" s="165"/>
      <c r="J25" s="163"/>
      <c r="K25" s="163"/>
      <c r="L25" s="163"/>
      <c r="M25" s="163">
        <f t="shared" si="6"/>
        <v>0</v>
      </c>
      <c r="N25" s="163"/>
      <c r="O25" s="166">
        <f t="shared" si="7"/>
        <v>0</v>
      </c>
      <c r="P25" s="163"/>
      <c r="Q25" s="163"/>
      <c r="R25" s="166">
        <f t="shared" si="8"/>
        <v>0</v>
      </c>
      <c r="S25" s="163"/>
      <c r="T25" s="163"/>
      <c r="U25" s="167">
        <f t="shared" si="9"/>
        <v>0</v>
      </c>
      <c r="W25" s="148"/>
    </row>
    <row r="26" spans="1:23" ht="22.5" customHeight="1">
      <c r="A26" s="160">
        <v>45060</v>
      </c>
      <c r="B26" s="161" t="s">
        <v>147</v>
      </c>
      <c r="C26" s="162">
        <f t="shared" si="3"/>
        <v>0</v>
      </c>
      <c r="D26" s="162">
        <f t="shared" ref="D26:E26" si="28">N26+Q26+T26</f>
        <v>0</v>
      </c>
      <c r="E26" s="163">
        <f t="shared" si="28"/>
        <v>0</v>
      </c>
      <c r="F26" s="164">
        <f t="shared" si="5"/>
        <v>0</v>
      </c>
      <c r="G26" s="163"/>
      <c r="H26" s="163"/>
      <c r="I26" s="165"/>
      <c r="J26" s="163"/>
      <c r="K26" s="163"/>
      <c r="L26" s="163"/>
      <c r="M26" s="163">
        <f t="shared" si="6"/>
        <v>0</v>
      </c>
      <c r="N26" s="163"/>
      <c r="O26" s="166">
        <f t="shared" si="7"/>
        <v>0</v>
      </c>
      <c r="P26" s="163"/>
      <c r="Q26" s="163"/>
      <c r="R26" s="166">
        <f t="shared" si="8"/>
        <v>0</v>
      </c>
      <c r="S26" s="163"/>
      <c r="T26" s="163"/>
      <c r="U26" s="167">
        <f t="shared" si="9"/>
        <v>0</v>
      </c>
      <c r="W26" s="148"/>
    </row>
    <row r="27" spans="1:23" ht="22.5" customHeight="1">
      <c r="A27" s="160">
        <v>45061</v>
      </c>
      <c r="B27" s="161" t="s">
        <v>148</v>
      </c>
      <c r="C27" s="162">
        <f t="shared" si="3"/>
        <v>0</v>
      </c>
      <c r="D27" s="162">
        <f t="shared" ref="D27:E27" si="29">N27+Q27+T27</f>
        <v>0</v>
      </c>
      <c r="E27" s="163">
        <f t="shared" si="29"/>
        <v>0</v>
      </c>
      <c r="F27" s="164">
        <f t="shared" si="5"/>
        <v>0</v>
      </c>
      <c r="G27" s="170"/>
      <c r="H27" s="170"/>
      <c r="I27" s="171"/>
      <c r="J27" s="170"/>
      <c r="K27" s="170"/>
      <c r="L27" s="170"/>
      <c r="M27" s="170">
        <f t="shared" si="6"/>
        <v>0</v>
      </c>
      <c r="N27" s="170"/>
      <c r="O27" s="172">
        <f t="shared" si="7"/>
        <v>0</v>
      </c>
      <c r="P27" s="170"/>
      <c r="Q27" s="170"/>
      <c r="R27" s="172">
        <f t="shared" si="8"/>
        <v>0</v>
      </c>
      <c r="S27" s="170"/>
      <c r="T27" s="170"/>
      <c r="U27" s="173">
        <f t="shared" si="9"/>
        <v>0</v>
      </c>
      <c r="W27" s="148"/>
    </row>
    <row r="28" spans="1:23" ht="22.5" customHeight="1">
      <c r="A28" s="160">
        <v>45062</v>
      </c>
      <c r="B28" s="161" t="s">
        <v>142</v>
      </c>
      <c r="C28" s="162">
        <f t="shared" si="3"/>
        <v>0</v>
      </c>
      <c r="D28" s="162">
        <f t="shared" ref="D28:E28" si="30">N28+Q28+T28</f>
        <v>0</v>
      </c>
      <c r="E28" s="163">
        <f t="shared" si="30"/>
        <v>0</v>
      </c>
      <c r="F28" s="164">
        <f t="shared" si="5"/>
        <v>0</v>
      </c>
      <c r="G28" s="170"/>
      <c r="H28" s="170"/>
      <c r="I28" s="171"/>
      <c r="J28" s="170"/>
      <c r="K28" s="170"/>
      <c r="L28" s="170"/>
      <c r="M28" s="170">
        <f t="shared" si="6"/>
        <v>0</v>
      </c>
      <c r="N28" s="170"/>
      <c r="O28" s="172">
        <f t="shared" si="7"/>
        <v>0</v>
      </c>
      <c r="P28" s="170"/>
      <c r="Q28" s="170"/>
      <c r="R28" s="172">
        <f t="shared" si="8"/>
        <v>0</v>
      </c>
      <c r="S28" s="170"/>
      <c r="T28" s="170"/>
      <c r="U28" s="173">
        <f t="shared" si="9"/>
        <v>0</v>
      </c>
      <c r="W28" s="148"/>
    </row>
    <row r="29" spans="1:23" ht="22.5" customHeight="1">
      <c r="A29" s="160">
        <v>45063</v>
      </c>
      <c r="B29" s="161" t="s">
        <v>143</v>
      </c>
      <c r="C29" s="162">
        <f t="shared" si="3"/>
        <v>0</v>
      </c>
      <c r="D29" s="162">
        <f t="shared" ref="D29:E29" si="31">N29+Q29+T29</f>
        <v>0</v>
      </c>
      <c r="E29" s="163">
        <f t="shared" si="31"/>
        <v>0</v>
      </c>
      <c r="F29" s="164">
        <f t="shared" si="5"/>
        <v>0</v>
      </c>
      <c r="G29" s="170"/>
      <c r="H29" s="170"/>
      <c r="I29" s="171"/>
      <c r="J29" s="170"/>
      <c r="K29" s="170"/>
      <c r="L29" s="170"/>
      <c r="M29" s="170">
        <f t="shared" si="6"/>
        <v>0</v>
      </c>
      <c r="N29" s="170"/>
      <c r="O29" s="172">
        <f t="shared" si="7"/>
        <v>0</v>
      </c>
      <c r="P29" s="170"/>
      <c r="Q29" s="170"/>
      <c r="R29" s="172">
        <f t="shared" si="8"/>
        <v>0</v>
      </c>
      <c r="S29" s="170"/>
      <c r="T29" s="170"/>
      <c r="U29" s="173">
        <f t="shared" si="9"/>
        <v>0</v>
      </c>
      <c r="W29" s="148"/>
    </row>
    <row r="30" spans="1:23" ht="22.5" customHeight="1">
      <c r="A30" s="160">
        <v>45064</v>
      </c>
      <c r="B30" s="161" t="s">
        <v>144</v>
      </c>
      <c r="C30" s="162">
        <f t="shared" si="3"/>
        <v>0</v>
      </c>
      <c r="D30" s="162">
        <f t="shared" ref="D30:E30" si="32">N30+Q30+T30</f>
        <v>0</v>
      </c>
      <c r="E30" s="163">
        <f t="shared" si="32"/>
        <v>0</v>
      </c>
      <c r="F30" s="164">
        <f t="shared" si="5"/>
        <v>0</v>
      </c>
      <c r="G30" s="170"/>
      <c r="H30" s="170"/>
      <c r="I30" s="171"/>
      <c r="J30" s="170"/>
      <c r="K30" s="170"/>
      <c r="L30" s="170"/>
      <c r="M30" s="170">
        <f t="shared" si="6"/>
        <v>0</v>
      </c>
      <c r="N30" s="170"/>
      <c r="O30" s="172">
        <f t="shared" si="7"/>
        <v>0</v>
      </c>
      <c r="P30" s="170"/>
      <c r="Q30" s="170"/>
      <c r="R30" s="172">
        <f t="shared" si="8"/>
        <v>0</v>
      </c>
      <c r="S30" s="170"/>
      <c r="T30" s="170"/>
      <c r="U30" s="173">
        <f t="shared" si="9"/>
        <v>0</v>
      </c>
      <c r="W30" s="148"/>
    </row>
    <row r="31" spans="1:23" ht="22.5" customHeight="1">
      <c r="A31" s="160">
        <v>45065</v>
      </c>
      <c r="B31" s="161" t="s">
        <v>145</v>
      </c>
      <c r="C31" s="162">
        <f t="shared" si="3"/>
        <v>0</v>
      </c>
      <c r="D31" s="162">
        <f t="shared" ref="D31:E31" si="33">N31+Q31+T31</f>
        <v>0</v>
      </c>
      <c r="E31" s="163">
        <f t="shared" si="33"/>
        <v>0</v>
      </c>
      <c r="F31" s="164">
        <f t="shared" si="5"/>
        <v>0</v>
      </c>
      <c r="G31" s="170"/>
      <c r="H31" s="170"/>
      <c r="I31" s="171"/>
      <c r="J31" s="170"/>
      <c r="K31" s="170"/>
      <c r="L31" s="170"/>
      <c r="M31" s="170">
        <f t="shared" si="6"/>
        <v>0</v>
      </c>
      <c r="N31" s="170"/>
      <c r="O31" s="172">
        <f t="shared" si="7"/>
        <v>0</v>
      </c>
      <c r="P31" s="170"/>
      <c r="Q31" s="170"/>
      <c r="R31" s="172">
        <f t="shared" si="8"/>
        <v>0</v>
      </c>
      <c r="S31" s="170"/>
      <c r="T31" s="170"/>
      <c r="U31" s="173">
        <f t="shared" si="9"/>
        <v>0</v>
      </c>
      <c r="V31" s="174" t="s">
        <v>149</v>
      </c>
      <c r="W31" s="175">
        <f>PRESUPUESTO!G27</f>
        <v>84555.494933314942</v>
      </c>
    </row>
    <row r="32" spans="1:23" ht="22.5" customHeight="1">
      <c r="A32" s="160">
        <v>45066</v>
      </c>
      <c r="B32" s="161" t="s">
        <v>146</v>
      </c>
      <c r="C32" s="162">
        <f t="shared" si="3"/>
        <v>0</v>
      </c>
      <c r="D32" s="162">
        <f t="shared" ref="D32:E32" si="34">N32+Q32+T32</f>
        <v>0</v>
      </c>
      <c r="E32" s="163">
        <f t="shared" si="34"/>
        <v>0</v>
      </c>
      <c r="F32" s="164">
        <f t="shared" si="5"/>
        <v>0</v>
      </c>
      <c r="G32" s="163"/>
      <c r="H32" s="163"/>
      <c r="I32" s="165"/>
      <c r="J32" s="163"/>
      <c r="K32" s="163"/>
      <c r="L32" s="163"/>
      <c r="M32" s="163">
        <f t="shared" si="6"/>
        <v>0</v>
      </c>
      <c r="N32" s="163"/>
      <c r="O32" s="166">
        <f t="shared" si="7"/>
        <v>0</v>
      </c>
      <c r="P32" s="163"/>
      <c r="Q32" s="163"/>
      <c r="R32" s="166">
        <f t="shared" si="8"/>
        <v>0</v>
      </c>
      <c r="S32" s="163"/>
      <c r="T32" s="163"/>
      <c r="U32" s="167">
        <f t="shared" si="9"/>
        <v>0</v>
      </c>
      <c r="V32" s="174" t="s">
        <v>150</v>
      </c>
      <c r="W32" s="175">
        <f>SUBTOTAL(9,C7:C36)</f>
        <v>0</v>
      </c>
    </row>
    <row r="33" spans="1:23" ht="22.5" customHeight="1">
      <c r="A33" s="160">
        <v>45067</v>
      </c>
      <c r="B33" s="161" t="s">
        <v>147</v>
      </c>
      <c r="C33" s="162">
        <f t="shared" si="3"/>
        <v>0</v>
      </c>
      <c r="D33" s="162">
        <f t="shared" ref="D33:E33" si="35">N33+Q33+T33</f>
        <v>0</v>
      </c>
      <c r="E33" s="163">
        <f t="shared" si="35"/>
        <v>0</v>
      </c>
      <c r="F33" s="164">
        <f t="shared" si="5"/>
        <v>0</v>
      </c>
      <c r="G33" s="163"/>
      <c r="H33" s="163"/>
      <c r="I33" s="165"/>
      <c r="J33" s="163"/>
      <c r="K33" s="163"/>
      <c r="L33" s="163"/>
      <c r="M33" s="163">
        <f t="shared" si="6"/>
        <v>0</v>
      </c>
      <c r="N33" s="163"/>
      <c r="O33" s="166">
        <f t="shared" si="7"/>
        <v>0</v>
      </c>
      <c r="P33" s="163"/>
      <c r="Q33" s="163"/>
      <c r="R33" s="166">
        <f t="shared" si="8"/>
        <v>0</v>
      </c>
      <c r="S33" s="163"/>
      <c r="T33" s="163"/>
      <c r="U33" s="167">
        <f t="shared" si="9"/>
        <v>0</v>
      </c>
      <c r="V33" s="174" t="s">
        <v>151</v>
      </c>
      <c r="W33" s="175">
        <f>SUM(N7:N36)+SUM(Q7:Q36)+SUM(T7:T36)</f>
        <v>0</v>
      </c>
    </row>
    <row r="34" spans="1:23" ht="22.5" customHeight="1">
      <c r="A34" s="160">
        <v>45068</v>
      </c>
      <c r="B34" s="161" t="s">
        <v>148</v>
      </c>
      <c r="C34" s="162">
        <f t="shared" si="3"/>
        <v>0</v>
      </c>
      <c r="D34" s="162">
        <f t="shared" ref="D34:E34" si="36">N34+Q34+T34</f>
        <v>0</v>
      </c>
      <c r="E34" s="163">
        <f t="shared" si="36"/>
        <v>0</v>
      </c>
      <c r="F34" s="164">
        <f t="shared" si="5"/>
        <v>0</v>
      </c>
      <c r="G34" s="163"/>
      <c r="H34" s="163"/>
      <c r="I34" s="165"/>
      <c r="J34" s="163"/>
      <c r="K34" s="163"/>
      <c r="L34" s="163"/>
      <c r="M34" s="163">
        <f t="shared" si="6"/>
        <v>0</v>
      </c>
      <c r="N34" s="163"/>
      <c r="O34" s="166">
        <f t="shared" si="7"/>
        <v>0</v>
      </c>
      <c r="P34" s="163"/>
      <c r="Q34" s="163"/>
      <c r="R34" s="166">
        <f t="shared" si="8"/>
        <v>0</v>
      </c>
      <c r="S34" s="163"/>
      <c r="T34" s="163"/>
      <c r="U34" s="167">
        <f t="shared" si="9"/>
        <v>0</v>
      </c>
      <c r="V34" s="174" t="s">
        <v>152</v>
      </c>
      <c r="W34" s="175">
        <f>SUM(O7:O36)+SUM(R7:R36)+SUM(U7:U36)</f>
        <v>0</v>
      </c>
    </row>
    <row r="35" spans="1:23" ht="22.5" customHeight="1">
      <c r="A35" s="160">
        <v>45069</v>
      </c>
      <c r="B35" s="161" t="s">
        <v>142</v>
      </c>
      <c r="C35" s="162">
        <f t="shared" si="3"/>
        <v>0</v>
      </c>
      <c r="D35" s="162">
        <f t="shared" ref="D35:E35" si="37">N35+Q35+T35</f>
        <v>0</v>
      </c>
      <c r="E35" s="163">
        <f t="shared" si="37"/>
        <v>0</v>
      </c>
      <c r="F35" s="164">
        <f t="shared" si="5"/>
        <v>0</v>
      </c>
      <c r="G35" s="163"/>
      <c r="H35" s="163"/>
      <c r="I35" s="165"/>
      <c r="J35" s="163"/>
      <c r="K35" s="163"/>
      <c r="L35" s="163"/>
      <c r="M35" s="163">
        <f t="shared" si="6"/>
        <v>0</v>
      </c>
      <c r="N35" s="163"/>
      <c r="O35" s="166">
        <f t="shared" si="7"/>
        <v>0</v>
      </c>
      <c r="P35" s="163"/>
      <c r="Q35" s="163"/>
      <c r="R35" s="166">
        <f t="shared" si="8"/>
        <v>0</v>
      </c>
      <c r="S35" s="163"/>
      <c r="T35" s="163"/>
      <c r="U35" s="167">
        <f t="shared" si="9"/>
        <v>0</v>
      </c>
      <c r="V35" s="176" t="s">
        <v>153</v>
      </c>
      <c r="W35" s="177" t="e">
        <f>W32/COUNTIF(C7:C36,"&lt;&gt;0")</f>
        <v>#DIV/0!</v>
      </c>
    </row>
    <row r="36" spans="1:23" ht="22.5" customHeight="1">
      <c r="A36" s="160">
        <v>45070</v>
      </c>
      <c r="B36" s="161" t="s">
        <v>143</v>
      </c>
      <c r="C36" s="178">
        <f t="shared" si="3"/>
        <v>0</v>
      </c>
      <c r="D36" s="178">
        <f t="shared" ref="D36:E36" si="38">N36+Q36+T36</f>
        <v>0</v>
      </c>
      <c r="E36" s="179">
        <f t="shared" si="38"/>
        <v>0</v>
      </c>
      <c r="F36" s="164">
        <f t="shared" si="5"/>
        <v>0</v>
      </c>
      <c r="G36" s="180"/>
      <c r="H36" s="181"/>
      <c r="I36" s="180"/>
      <c r="J36" s="180"/>
      <c r="K36" s="180"/>
      <c r="L36" s="180"/>
      <c r="M36" s="180">
        <f t="shared" si="6"/>
        <v>0</v>
      </c>
      <c r="N36" s="180"/>
      <c r="O36" s="181">
        <f t="shared" si="7"/>
        <v>0</v>
      </c>
      <c r="P36" s="180"/>
      <c r="Q36" s="179"/>
      <c r="R36" s="181">
        <f t="shared" si="8"/>
        <v>0</v>
      </c>
      <c r="S36" s="179"/>
      <c r="T36" s="179"/>
      <c r="U36" s="182">
        <f t="shared" si="9"/>
        <v>0</v>
      </c>
      <c r="V36" s="176" t="s">
        <v>154</v>
      </c>
      <c r="W36" s="177">
        <f>W32/26</f>
        <v>0</v>
      </c>
    </row>
    <row r="37" spans="1:23" ht="22.5" customHeight="1">
      <c r="A37" s="160">
        <v>45071</v>
      </c>
      <c r="B37" s="161" t="s">
        <v>144</v>
      </c>
      <c r="C37" s="162">
        <f t="shared" si="3"/>
        <v>0</v>
      </c>
      <c r="D37" s="162">
        <f t="shared" ref="D37:E37" si="39">N37+Q37+T37</f>
        <v>0</v>
      </c>
      <c r="E37" s="163">
        <f t="shared" si="39"/>
        <v>0</v>
      </c>
      <c r="F37" s="164">
        <f t="shared" si="5"/>
        <v>0</v>
      </c>
      <c r="G37" s="163"/>
      <c r="H37" s="163"/>
      <c r="I37" s="165"/>
      <c r="J37" s="163"/>
      <c r="K37" s="163"/>
      <c r="L37" s="163"/>
      <c r="M37" s="163">
        <f t="shared" si="6"/>
        <v>0</v>
      </c>
      <c r="N37" s="163"/>
      <c r="O37" s="166">
        <f t="shared" si="7"/>
        <v>0</v>
      </c>
      <c r="P37" s="163"/>
      <c r="Q37" s="163"/>
      <c r="R37" s="166">
        <f t="shared" si="8"/>
        <v>0</v>
      </c>
      <c r="S37" s="163"/>
      <c r="T37" s="163"/>
      <c r="U37" s="167">
        <f t="shared" si="9"/>
        <v>0</v>
      </c>
      <c r="W37" s="148"/>
    </row>
    <row r="38" spans="1:23" ht="22.5" customHeight="1">
      <c r="A38" s="160">
        <v>45072</v>
      </c>
      <c r="B38" s="161" t="s">
        <v>145</v>
      </c>
      <c r="C38" s="162">
        <f t="shared" si="3"/>
        <v>0</v>
      </c>
      <c r="D38" s="162">
        <f t="shared" ref="D38:E38" si="40">N38+Q38+T38</f>
        <v>0</v>
      </c>
      <c r="E38" s="163">
        <f t="shared" si="40"/>
        <v>0</v>
      </c>
      <c r="F38" s="164">
        <f t="shared" si="5"/>
        <v>0</v>
      </c>
      <c r="G38" s="163"/>
      <c r="H38" s="163"/>
      <c r="I38" s="165"/>
      <c r="J38" s="163"/>
      <c r="K38" s="163"/>
      <c r="L38" s="163"/>
      <c r="M38" s="163">
        <f t="shared" si="6"/>
        <v>0</v>
      </c>
      <c r="N38" s="163"/>
      <c r="O38" s="166">
        <f t="shared" si="7"/>
        <v>0</v>
      </c>
      <c r="P38" s="163"/>
      <c r="Q38" s="163"/>
      <c r="R38" s="166">
        <f t="shared" si="8"/>
        <v>0</v>
      </c>
      <c r="S38" s="163"/>
      <c r="T38" s="163"/>
      <c r="U38" s="167">
        <f t="shared" si="9"/>
        <v>0</v>
      </c>
      <c r="W38" s="148"/>
    </row>
    <row r="39" spans="1:23" ht="22.5" customHeight="1">
      <c r="A39" s="160">
        <v>45073</v>
      </c>
      <c r="B39" s="161" t="s">
        <v>146</v>
      </c>
      <c r="C39" s="162">
        <f t="shared" si="3"/>
        <v>0</v>
      </c>
      <c r="D39" s="162">
        <f t="shared" ref="D39:E39" si="41">N39+Q39+T39</f>
        <v>0</v>
      </c>
      <c r="E39" s="163">
        <f t="shared" si="41"/>
        <v>0</v>
      </c>
      <c r="F39" s="164">
        <f t="shared" si="5"/>
        <v>0</v>
      </c>
      <c r="G39" s="163"/>
      <c r="H39" s="163"/>
      <c r="I39" s="165"/>
      <c r="J39" s="163"/>
      <c r="K39" s="163"/>
      <c r="L39" s="163"/>
      <c r="M39" s="163">
        <f t="shared" si="6"/>
        <v>0</v>
      </c>
      <c r="N39" s="163"/>
      <c r="O39" s="166">
        <f t="shared" si="7"/>
        <v>0</v>
      </c>
      <c r="P39" s="163"/>
      <c r="Q39" s="163"/>
      <c r="R39" s="166">
        <f t="shared" si="8"/>
        <v>0</v>
      </c>
      <c r="S39" s="163"/>
      <c r="T39" s="163"/>
      <c r="U39" s="167">
        <f t="shared" si="9"/>
        <v>0</v>
      </c>
      <c r="W39" s="148"/>
    </row>
    <row r="40" spans="1:23" ht="22.5" customHeight="1">
      <c r="A40" s="160">
        <v>45074</v>
      </c>
      <c r="B40" s="161" t="s">
        <v>147</v>
      </c>
      <c r="C40" s="162">
        <f t="shared" si="3"/>
        <v>0</v>
      </c>
      <c r="D40" s="162">
        <f t="shared" ref="D40:E40" si="42">N40+Q40+T40</f>
        <v>0</v>
      </c>
      <c r="E40" s="163">
        <f t="shared" si="42"/>
        <v>0</v>
      </c>
      <c r="F40" s="164">
        <f t="shared" si="5"/>
        <v>0</v>
      </c>
      <c r="G40" s="163"/>
      <c r="H40" s="163"/>
      <c r="I40" s="165"/>
      <c r="J40" s="163"/>
      <c r="K40" s="163"/>
      <c r="L40" s="163"/>
      <c r="M40" s="163">
        <f t="shared" si="6"/>
        <v>0</v>
      </c>
      <c r="N40" s="163"/>
      <c r="O40" s="166">
        <f t="shared" si="7"/>
        <v>0</v>
      </c>
      <c r="P40" s="163"/>
      <c r="Q40" s="163"/>
      <c r="R40" s="166">
        <f t="shared" si="8"/>
        <v>0</v>
      </c>
      <c r="S40" s="163"/>
      <c r="T40" s="163"/>
      <c r="U40" s="167">
        <f t="shared" si="9"/>
        <v>0</v>
      </c>
      <c r="W40" s="148"/>
    </row>
    <row r="41" spans="1:23" ht="22.5" customHeight="1">
      <c r="A41" s="160">
        <v>45075</v>
      </c>
      <c r="B41" s="161" t="s">
        <v>148</v>
      </c>
      <c r="C41" s="162">
        <f t="shared" si="3"/>
        <v>0</v>
      </c>
      <c r="D41" s="162">
        <f t="shared" ref="D41:E41" si="43">N41+Q41+T41</f>
        <v>0</v>
      </c>
      <c r="E41" s="163">
        <f t="shared" si="43"/>
        <v>0</v>
      </c>
      <c r="F41" s="164">
        <f t="shared" si="5"/>
        <v>0</v>
      </c>
      <c r="G41" s="163"/>
      <c r="H41" s="163"/>
      <c r="I41" s="165"/>
      <c r="J41" s="163"/>
      <c r="K41" s="163"/>
      <c r="L41" s="163"/>
      <c r="M41" s="163">
        <f t="shared" si="6"/>
        <v>0</v>
      </c>
      <c r="N41" s="163"/>
      <c r="O41" s="166">
        <f t="shared" si="7"/>
        <v>0</v>
      </c>
      <c r="P41" s="163"/>
      <c r="Q41" s="163"/>
      <c r="R41" s="166">
        <f t="shared" si="8"/>
        <v>0</v>
      </c>
      <c r="S41" s="163"/>
      <c r="T41" s="163"/>
      <c r="U41" s="167">
        <f t="shared" si="9"/>
        <v>0</v>
      </c>
    </row>
    <row r="42" spans="1:23" ht="22.5" customHeight="1">
      <c r="A42" s="160">
        <v>45076</v>
      </c>
      <c r="B42" s="161" t="s">
        <v>142</v>
      </c>
      <c r="C42" s="162">
        <f t="shared" si="3"/>
        <v>0</v>
      </c>
      <c r="D42" s="162">
        <f t="shared" ref="D42:E42" si="44">N42+Q42+T42</f>
        <v>0</v>
      </c>
      <c r="E42" s="163">
        <f t="shared" si="44"/>
        <v>0</v>
      </c>
      <c r="F42" s="164">
        <f t="shared" si="5"/>
        <v>0</v>
      </c>
      <c r="G42" s="163"/>
      <c r="H42" s="163"/>
      <c r="I42" s="165"/>
      <c r="J42" s="163"/>
      <c r="K42" s="163"/>
      <c r="L42" s="163"/>
      <c r="M42" s="163">
        <f t="shared" si="6"/>
        <v>0</v>
      </c>
      <c r="N42" s="163"/>
      <c r="O42" s="166">
        <f t="shared" si="7"/>
        <v>0</v>
      </c>
      <c r="P42" s="163"/>
      <c r="Q42" s="163"/>
      <c r="R42" s="166">
        <f t="shared" si="8"/>
        <v>0</v>
      </c>
      <c r="S42" s="163"/>
      <c r="T42" s="163"/>
      <c r="U42" s="167">
        <f t="shared" si="9"/>
        <v>0</v>
      </c>
    </row>
    <row r="43" spans="1:23" ht="22.5" customHeight="1">
      <c r="A43" s="160">
        <v>45077</v>
      </c>
      <c r="B43" s="161" t="s">
        <v>143</v>
      </c>
      <c r="C43" s="162">
        <f t="shared" si="3"/>
        <v>0</v>
      </c>
      <c r="D43" s="162">
        <f t="shared" ref="D43:E43" si="45">N43+Q43+T43</f>
        <v>0</v>
      </c>
      <c r="E43" s="163">
        <f t="shared" si="45"/>
        <v>0</v>
      </c>
      <c r="F43" s="164">
        <f t="shared" si="5"/>
        <v>0</v>
      </c>
      <c r="G43" s="163"/>
      <c r="H43" s="166"/>
      <c r="I43" s="163"/>
      <c r="J43" s="163"/>
      <c r="K43" s="163"/>
      <c r="L43" s="163"/>
      <c r="M43" s="163">
        <f t="shared" si="6"/>
        <v>0</v>
      </c>
      <c r="N43" s="163"/>
      <c r="O43" s="166">
        <f t="shared" si="7"/>
        <v>0</v>
      </c>
      <c r="P43" s="163"/>
      <c r="Q43" s="163"/>
      <c r="R43" s="166">
        <f t="shared" si="8"/>
        <v>0</v>
      </c>
      <c r="S43" s="163"/>
      <c r="T43" s="163"/>
      <c r="U43" s="167">
        <f t="shared" si="9"/>
        <v>0</v>
      </c>
    </row>
    <row r="44" spans="1:23" ht="22.5" customHeight="1">
      <c r="A44" s="160">
        <v>45078</v>
      </c>
      <c r="B44" s="161" t="s">
        <v>144</v>
      </c>
      <c r="C44" s="162">
        <f t="shared" si="3"/>
        <v>0</v>
      </c>
      <c r="D44" s="162">
        <f t="shared" ref="D44:E44" si="46">N44+Q44+T44</f>
        <v>0</v>
      </c>
      <c r="E44" s="163">
        <f t="shared" si="46"/>
        <v>0</v>
      </c>
      <c r="F44" s="164">
        <f t="shared" si="5"/>
        <v>0</v>
      </c>
      <c r="G44" s="163"/>
      <c r="H44" s="163"/>
      <c r="I44" s="165"/>
      <c r="J44" s="163"/>
      <c r="K44" s="163"/>
      <c r="L44" s="163"/>
      <c r="M44" s="163">
        <f t="shared" si="6"/>
        <v>0</v>
      </c>
      <c r="N44" s="163"/>
      <c r="O44" s="166">
        <f t="shared" si="7"/>
        <v>0</v>
      </c>
      <c r="P44" s="163"/>
      <c r="Q44" s="163"/>
      <c r="R44" s="166">
        <f t="shared" si="8"/>
        <v>0</v>
      </c>
      <c r="S44" s="163"/>
      <c r="T44" s="163"/>
      <c r="U44" s="167">
        <f t="shared" si="9"/>
        <v>0</v>
      </c>
      <c r="W44" s="148"/>
    </row>
    <row r="45" spans="1:23" ht="22.5" customHeight="1">
      <c r="A45" s="160">
        <v>45079</v>
      </c>
      <c r="B45" s="161" t="s">
        <v>145</v>
      </c>
      <c r="C45" s="162">
        <f t="shared" si="3"/>
        <v>0</v>
      </c>
      <c r="D45" s="162">
        <f t="shared" ref="D45:E45" si="47">N45+Q45+T45</f>
        <v>0</v>
      </c>
      <c r="E45" s="163">
        <f t="shared" si="47"/>
        <v>0</v>
      </c>
      <c r="F45" s="164">
        <f t="shared" si="5"/>
        <v>0</v>
      </c>
      <c r="G45" s="163"/>
      <c r="H45" s="163"/>
      <c r="I45" s="165"/>
      <c r="J45" s="163"/>
      <c r="K45" s="163"/>
      <c r="L45" s="163"/>
      <c r="M45" s="163">
        <f t="shared" si="6"/>
        <v>0</v>
      </c>
      <c r="N45" s="163"/>
      <c r="O45" s="166">
        <f t="shared" si="7"/>
        <v>0</v>
      </c>
      <c r="P45" s="163"/>
      <c r="Q45" s="163"/>
      <c r="R45" s="166">
        <f t="shared" si="8"/>
        <v>0</v>
      </c>
      <c r="S45" s="163"/>
      <c r="T45" s="163"/>
      <c r="U45" s="167">
        <f t="shared" si="9"/>
        <v>0</v>
      </c>
      <c r="W45" s="148"/>
    </row>
    <row r="46" spans="1:23" ht="22.5" customHeight="1">
      <c r="A46" s="160">
        <v>45080</v>
      </c>
      <c r="B46" s="161" t="s">
        <v>146</v>
      </c>
      <c r="C46" s="162">
        <f t="shared" si="3"/>
        <v>0</v>
      </c>
      <c r="D46" s="162">
        <f t="shared" ref="D46:E46" si="48">N46+Q46+T46</f>
        <v>0</v>
      </c>
      <c r="E46" s="163">
        <f t="shared" si="48"/>
        <v>0</v>
      </c>
      <c r="F46" s="164">
        <f t="shared" si="5"/>
        <v>0</v>
      </c>
      <c r="G46" s="163"/>
      <c r="H46" s="163"/>
      <c r="I46" s="165"/>
      <c r="J46" s="163"/>
      <c r="K46" s="163"/>
      <c r="L46" s="163"/>
      <c r="M46" s="163">
        <f t="shared" si="6"/>
        <v>0</v>
      </c>
      <c r="N46" s="163"/>
      <c r="O46" s="166">
        <f t="shared" si="7"/>
        <v>0</v>
      </c>
      <c r="P46" s="163"/>
      <c r="Q46" s="163"/>
      <c r="R46" s="166">
        <f t="shared" si="8"/>
        <v>0</v>
      </c>
      <c r="S46" s="163"/>
      <c r="T46" s="163"/>
      <c r="U46" s="167">
        <f t="shared" si="9"/>
        <v>0</v>
      </c>
      <c r="W46" s="148"/>
    </row>
    <row r="47" spans="1:23" ht="22.5" customHeight="1">
      <c r="A47" s="160">
        <v>45081</v>
      </c>
      <c r="B47" s="161" t="s">
        <v>147</v>
      </c>
      <c r="C47" s="162">
        <f t="shared" si="3"/>
        <v>0</v>
      </c>
      <c r="D47" s="162">
        <f t="shared" ref="D47:E47" si="49">N47+Q47+T47</f>
        <v>0</v>
      </c>
      <c r="E47" s="163">
        <f t="shared" si="49"/>
        <v>0</v>
      </c>
      <c r="F47" s="164">
        <f t="shared" si="5"/>
        <v>0</v>
      </c>
      <c r="G47" s="163"/>
      <c r="H47" s="163"/>
      <c r="I47" s="165"/>
      <c r="J47" s="163"/>
      <c r="K47" s="163"/>
      <c r="L47" s="163"/>
      <c r="M47" s="163">
        <f t="shared" si="6"/>
        <v>0</v>
      </c>
      <c r="N47" s="163"/>
      <c r="O47" s="166">
        <f t="shared" si="7"/>
        <v>0</v>
      </c>
      <c r="P47" s="163"/>
      <c r="Q47" s="163"/>
      <c r="R47" s="166">
        <f t="shared" si="8"/>
        <v>0</v>
      </c>
      <c r="S47" s="163"/>
      <c r="T47" s="163"/>
      <c r="U47" s="167">
        <f t="shared" si="9"/>
        <v>0</v>
      </c>
      <c r="W47" s="148"/>
    </row>
    <row r="48" spans="1:23" ht="22.5" customHeight="1">
      <c r="A48" s="160">
        <v>45082</v>
      </c>
      <c r="B48" s="161" t="s">
        <v>148</v>
      </c>
      <c r="C48" s="162">
        <f t="shared" si="3"/>
        <v>0</v>
      </c>
      <c r="D48" s="162">
        <f t="shared" ref="D48:E48" si="50">N48+Q48+T48</f>
        <v>0</v>
      </c>
      <c r="E48" s="163">
        <f t="shared" si="50"/>
        <v>0</v>
      </c>
      <c r="F48" s="164">
        <f t="shared" si="5"/>
        <v>0</v>
      </c>
      <c r="G48" s="163"/>
      <c r="H48" s="163"/>
      <c r="I48" s="165"/>
      <c r="J48" s="163"/>
      <c r="K48" s="163"/>
      <c r="L48" s="163"/>
      <c r="M48" s="163">
        <f t="shared" si="6"/>
        <v>0</v>
      </c>
      <c r="N48" s="163"/>
      <c r="O48" s="166">
        <f t="shared" si="7"/>
        <v>0</v>
      </c>
      <c r="P48" s="163"/>
      <c r="Q48" s="163"/>
      <c r="R48" s="166">
        <f t="shared" si="8"/>
        <v>0</v>
      </c>
      <c r="S48" s="163"/>
      <c r="T48" s="163"/>
      <c r="U48" s="167">
        <f t="shared" si="9"/>
        <v>0</v>
      </c>
      <c r="W48" s="148"/>
    </row>
    <row r="49" spans="1:23" ht="22.5" customHeight="1">
      <c r="A49" s="160">
        <v>45083</v>
      </c>
      <c r="B49" s="161" t="s">
        <v>142</v>
      </c>
      <c r="C49" s="162">
        <f t="shared" si="3"/>
        <v>0</v>
      </c>
      <c r="D49" s="162">
        <f t="shared" ref="D49:E49" si="51">N49+Q49+T49</f>
        <v>0</v>
      </c>
      <c r="E49" s="163">
        <f t="shared" si="51"/>
        <v>0</v>
      </c>
      <c r="F49" s="164">
        <f t="shared" si="5"/>
        <v>0</v>
      </c>
      <c r="G49" s="163"/>
      <c r="H49" s="163"/>
      <c r="I49" s="165"/>
      <c r="J49" s="163"/>
      <c r="K49" s="163"/>
      <c r="L49" s="163"/>
      <c r="M49" s="163">
        <f t="shared" si="6"/>
        <v>0</v>
      </c>
      <c r="N49" s="163"/>
      <c r="O49" s="166">
        <f t="shared" si="7"/>
        <v>0</v>
      </c>
      <c r="P49" s="163"/>
      <c r="Q49" s="163"/>
      <c r="R49" s="166">
        <f t="shared" si="8"/>
        <v>0</v>
      </c>
      <c r="S49" s="163"/>
      <c r="T49" s="163"/>
      <c r="U49" s="167">
        <f t="shared" si="9"/>
        <v>0</v>
      </c>
      <c r="W49" s="148"/>
    </row>
    <row r="50" spans="1:23" ht="22.5" customHeight="1">
      <c r="A50" s="160">
        <v>45084</v>
      </c>
      <c r="B50" s="161" t="s">
        <v>143</v>
      </c>
      <c r="C50" s="162">
        <f t="shared" si="3"/>
        <v>0</v>
      </c>
      <c r="D50" s="162">
        <f t="shared" ref="D50:E50" si="52">N50+Q50+T50</f>
        <v>0</v>
      </c>
      <c r="E50" s="163">
        <f t="shared" si="52"/>
        <v>0</v>
      </c>
      <c r="F50" s="164">
        <f t="shared" si="5"/>
        <v>0</v>
      </c>
      <c r="G50" s="163"/>
      <c r="H50" s="163"/>
      <c r="I50" s="165"/>
      <c r="J50" s="163"/>
      <c r="K50" s="163"/>
      <c r="L50" s="163"/>
      <c r="M50" s="163">
        <f t="shared" si="6"/>
        <v>0</v>
      </c>
      <c r="N50" s="163"/>
      <c r="O50" s="166">
        <f t="shared" si="7"/>
        <v>0</v>
      </c>
      <c r="P50" s="163"/>
      <c r="Q50" s="163"/>
      <c r="R50" s="166">
        <f t="shared" si="8"/>
        <v>0</v>
      </c>
      <c r="S50" s="163"/>
      <c r="T50" s="163"/>
      <c r="U50" s="167">
        <f t="shared" si="9"/>
        <v>0</v>
      </c>
      <c r="W50" s="148"/>
    </row>
    <row r="51" spans="1:23" ht="22.5" customHeight="1">
      <c r="A51" s="160">
        <v>45085</v>
      </c>
      <c r="B51" s="161" t="s">
        <v>144</v>
      </c>
      <c r="C51" s="162">
        <f t="shared" si="3"/>
        <v>0</v>
      </c>
      <c r="D51" s="162">
        <f t="shared" ref="D51:E51" si="53">N51+Q51+T51</f>
        <v>0</v>
      </c>
      <c r="E51" s="163">
        <f t="shared" si="53"/>
        <v>0</v>
      </c>
      <c r="F51" s="164">
        <f t="shared" si="5"/>
        <v>0</v>
      </c>
      <c r="G51" s="170"/>
      <c r="H51" s="170"/>
      <c r="I51" s="171"/>
      <c r="J51" s="183"/>
      <c r="K51" s="183"/>
      <c r="L51" s="183"/>
      <c r="M51" s="170">
        <f t="shared" si="6"/>
        <v>0</v>
      </c>
      <c r="N51" s="170"/>
      <c r="O51" s="172">
        <f t="shared" si="7"/>
        <v>0</v>
      </c>
      <c r="P51" s="183"/>
      <c r="Q51" s="170"/>
      <c r="R51" s="172">
        <f t="shared" si="8"/>
        <v>0</v>
      </c>
      <c r="S51" s="183"/>
      <c r="T51" s="170"/>
      <c r="U51" s="173">
        <f t="shared" si="9"/>
        <v>0</v>
      </c>
      <c r="W51" s="148"/>
    </row>
    <row r="52" spans="1:23" ht="22.5" customHeight="1">
      <c r="A52" s="160">
        <v>45086</v>
      </c>
      <c r="B52" s="161" t="s">
        <v>145</v>
      </c>
      <c r="C52" s="162">
        <f t="shared" si="3"/>
        <v>0</v>
      </c>
      <c r="D52" s="162">
        <f t="shared" ref="D52:E52" si="54">N52+Q52+T52</f>
        <v>0</v>
      </c>
      <c r="E52" s="163">
        <f t="shared" si="54"/>
        <v>0</v>
      </c>
      <c r="F52" s="164">
        <f t="shared" si="5"/>
        <v>0</v>
      </c>
      <c r="G52" s="170"/>
      <c r="H52" s="170"/>
      <c r="I52" s="171"/>
      <c r="J52" s="183"/>
      <c r="K52" s="183"/>
      <c r="L52" s="183"/>
      <c r="M52" s="170">
        <f t="shared" si="6"/>
        <v>0</v>
      </c>
      <c r="N52" s="170"/>
      <c r="O52" s="172">
        <f t="shared" si="7"/>
        <v>0</v>
      </c>
      <c r="P52" s="183"/>
      <c r="Q52" s="170"/>
      <c r="R52" s="172">
        <f t="shared" si="8"/>
        <v>0</v>
      </c>
      <c r="S52" s="183"/>
      <c r="T52" s="170"/>
      <c r="U52" s="173">
        <f t="shared" si="9"/>
        <v>0</v>
      </c>
      <c r="W52" s="148"/>
    </row>
    <row r="53" spans="1:23" ht="22.5" customHeight="1">
      <c r="A53" s="160">
        <v>45087</v>
      </c>
      <c r="B53" s="161" t="s">
        <v>146</v>
      </c>
      <c r="C53" s="162">
        <f t="shared" si="3"/>
        <v>0</v>
      </c>
      <c r="D53" s="162">
        <f t="shared" ref="D53:E53" si="55">N53+Q53+T53</f>
        <v>0</v>
      </c>
      <c r="E53" s="163">
        <f t="shared" si="55"/>
        <v>0</v>
      </c>
      <c r="F53" s="164">
        <f t="shared" si="5"/>
        <v>0</v>
      </c>
      <c r="G53" s="163"/>
      <c r="H53" s="163"/>
      <c r="I53" s="165"/>
      <c r="J53" s="169"/>
      <c r="K53" s="169"/>
      <c r="L53" s="169"/>
      <c r="M53" s="163">
        <f t="shared" si="6"/>
        <v>0</v>
      </c>
      <c r="N53" s="163"/>
      <c r="O53" s="166">
        <f t="shared" si="7"/>
        <v>0</v>
      </c>
      <c r="P53" s="169"/>
      <c r="Q53" s="163"/>
      <c r="R53" s="166">
        <f t="shared" si="8"/>
        <v>0</v>
      </c>
      <c r="S53" s="169"/>
      <c r="T53" s="163"/>
      <c r="U53" s="167">
        <f t="shared" si="9"/>
        <v>0</v>
      </c>
      <c r="W53" s="148"/>
    </row>
    <row r="54" spans="1:23" ht="22.5" customHeight="1">
      <c r="A54" s="160">
        <v>45088</v>
      </c>
      <c r="B54" s="161" t="s">
        <v>147</v>
      </c>
      <c r="C54" s="162">
        <f t="shared" si="3"/>
        <v>0</v>
      </c>
      <c r="D54" s="162">
        <f t="shared" ref="D54:E54" si="56">N54+Q54+T54</f>
        <v>0</v>
      </c>
      <c r="E54" s="163">
        <f t="shared" si="56"/>
        <v>0</v>
      </c>
      <c r="F54" s="164">
        <f t="shared" si="5"/>
        <v>0</v>
      </c>
      <c r="G54" s="163"/>
      <c r="H54" s="163"/>
      <c r="I54" s="165"/>
      <c r="J54" s="169"/>
      <c r="K54" s="169"/>
      <c r="L54" s="169"/>
      <c r="M54" s="163">
        <f t="shared" si="6"/>
        <v>0</v>
      </c>
      <c r="N54" s="163"/>
      <c r="O54" s="166">
        <f t="shared" si="7"/>
        <v>0</v>
      </c>
      <c r="P54" s="169"/>
      <c r="Q54" s="163"/>
      <c r="R54" s="166">
        <f t="shared" si="8"/>
        <v>0</v>
      </c>
      <c r="S54" s="169"/>
      <c r="T54" s="163"/>
      <c r="U54" s="167">
        <f t="shared" si="9"/>
        <v>0</v>
      </c>
      <c r="W54" s="148"/>
    </row>
    <row r="55" spans="1:23" ht="22.5" customHeight="1">
      <c r="A55" s="160">
        <v>45089</v>
      </c>
      <c r="B55" s="161" t="s">
        <v>148</v>
      </c>
      <c r="C55" s="162">
        <f t="shared" si="3"/>
        <v>0</v>
      </c>
      <c r="D55" s="162">
        <f t="shared" ref="D55:E55" si="57">N55+Q55+T55</f>
        <v>0</v>
      </c>
      <c r="E55" s="163">
        <f t="shared" si="57"/>
        <v>0</v>
      </c>
      <c r="F55" s="164">
        <f t="shared" si="5"/>
        <v>0</v>
      </c>
      <c r="G55" s="163"/>
      <c r="H55" s="163"/>
      <c r="I55" s="165"/>
      <c r="J55" s="163"/>
      <c r="K55" s="163"/>
      <c r="L55" s="163"/>
      <c r="M55" s="163">
        <f t="shared" si="6"/>
        <v>0</v>
      </c>
      <c r="N55" s="163"/>
      <c r="O55" s="166">
        <f t="shared" si="7"/>
        <v>0</v>
      </c>
      <c r="P55" s="163"/>
      <c r="Q55" s="163"/>
      <c r="R55" s="166">
        <f t="shared" si="8"/>
        <v>0</v>
      </c>
      <c r="S55" s="163"/>
      <c r="T55" s="163"/>
      <c r="U55" s="167">
        <f t="shared" si="9"/>
        <v>0</v>
      </c>
      <c r="W55" s="148"/>
    </row>
    <row r="56" spans="1:23" ht="22.5" customHeight="1">
      <c r="A56" s="160">
        <v>45090</v>
      </c>
      <c r="B56" s="161" t="s">
        <v>142</v>
      </c>
      <c r="C56" s="162">
        <f t="shared" si="3"/>
        <v>0</v>
      </c>
      <c r="D56" s="162">
        <f t="shared" ref="D56:E56" si="58">N56+Q56+T56</f>
        <v>0</v>
      </c>
      <c r="E56" s="163">
        <f t="shared" si="58"/>
        <v>0</v>
      </c>
      <c r="F56" s="164">
        <f t="shared" si="5"/>
        <v>0</v>
      </c>
      <c r="G56" s="163"/>
      <c r="H56" s="163"/>
      <c r="I56" s="165"/>
      <c r="J56" s="163"/>
      <c r="K56" s="163"/>
      <c r="L56" s="163"/>
      <c r="M56" s="163">
        <f t="shared" si="6"/>
        <v>0</v>
      </c>
      <c r="N56" s="163"/>
      <c r="O56" s="166">
        <f t="shared" si="7"/>
        <v>0</v>
      </c>
      <c r="P56" s="163"/>
      <c r="Q56" s="163"/>
      <c r="R56" s="166">
        <f t="shared" si="8"/>
        <v>0</v>
      </c>
      <c r="S56" s="163"/>
      <c r="T56" s="163"/>
      <c r="U56" s="167">
        <f t="shared" si="9"/>
        <v>0</v>
      </c>
      <c r="W56" s="148"/>
    </row>
    <row r="57" spans="1:23" ht="22.5" customHeight="1">
      <c r="A57" s="160">
        <v>45091</v>
      </c>
      <c r="B57" s="161" t="s">
        <v>143</v>
      </c>
      <c r="C57" s="162">
        <f t="shared" si="3"/>
        <v>0</v>
      </c>
      <c r="D57" s="162">
        <f t="shared" ref="D57:E57" si="59">N57+Q57+T57</f>
        <v>0</v>
      </c>
      <c r="E57" s="163">
        <f t="shared" si="59"/>
        <v>0</v>
      </c>
      <c r="F57" s="164">
        <f t="shared" si="5"/>
        <v>0</v>
      </c>
      <c r="G57" s="163"/>
      <c r="H57" s="163"/>
      <c r="I57" s="165"/>
      <c r="J57" s="163"/>
      <c r="K57" s="163"/>
      <c r="L57" s="163"/>
      <c r="M57" s="163">
        <f t="shared" si="6"/>
        <v>0</v>
      </c>
      <c r="N57" s="163"/>
      <c r="O57" s="166">
        <f t="shared" si="7"/>
        <v>0</v>
      </c>
      <c r="P57" s="163"/>
      <c r="Q57" s="163"/>
      <c r="R57" s="166">
        <f t="shared" si="8"/>
        <v>0</v>
      </c>
      <c r="S57" s="163"/>
      <c r="T57" s="163"/>
      <c r="U57" s="167">
        <f t="shared" si="9"/>
        <v>0</v>
      </c>
      <c r="W57" s="148"/>
    </row>
    <row r="58" spans="1:23" ht="22.5" customHeight="1">
      <c r="A58" s="160">
        <v>45092</v>
      </c>
      <c r="B58" s="161" t="s">
        <v>144</v>
      </c>
      <c r="C58" s="162">
        <f t="shared" si="3"/>
        <v>0</v>
      </c>
      <c r="D58" s="162">
        <f t="shared" ref="D58:E58" si="60">N58+Q58+T58</f>
        <v>0</v>
      </c>
      <c r="E58" s="163">
        <f t="shared" si="60"/>
        <v>0</v>
      </c>
      <c r="F58" s="164">
        <f t="shared" si="5"/>
        <v>0</v>
      </c>
      <c r="G58" s="170"/>
      <c r="H58" s="163"/>
      <c r="I58" s="171"/>
      <c r="J58" s="170"/>
      <c r="K58" s="170"/>
      <c r="L58" s="170"/>
      <c r="M58" s="163">
        <f t="shared" si="6"/>
        <v>0</v>
      </c>
      <c r="N58" s="170"/>
      <c r="O58" s="166">
        <f t="shared" si="7"/>
        <v>0</v>
      </c>
      <c r="P58" s="170"/>
      <c r="Q58" s="170"/>
      <c r="R58" s="166">
        <f t="shared" si="8"/>
        <v>0</v>
      </c>
      <c r="S58" s="170"/>
      <c r="T58" s="170"/>
      <c r="U58" s="167">
        <f t="shared" si="9"/>
        <v>0</v>
      </c>
      <c r="W58" s="148"/>
    </row>
    <row r="59" spans="1:23" ht="22.5" customHeight="1">
      <c r="A59" s="160">
        <v>45093</v>
      </c>
      <c r="B59" s="161" t="s">
        <v>145</v>
      </c>
      <c r="C59" s="162">
        <f t="shared" si="3"/>
        <v>0</v>
      </c>
      <c r="D59" s="162">
        <f t="shared" ref="D59:E59" si="61">N59+Q59+T59</f>
        <v>0</v>
      </c>
      <c r="E59" s="163">
        <f t="shared" si="61"/>
        <v>0</v>
      </c>
      <c r="F59" s="164">
        <f t="shared" si="5"/>
        <v>0</v>
      </c>
      <c r="G59" s="163"/>
      <c r="H59" s="163"/>
      <c r="I59" s="165"/>
      <c r="J59" s="163"/>
      <c r="K59" s="163"/>
      <c r="L59" s="163"/>
      <c r="M59" s="163">
        <f t="shared" si="6"/>
        <v>0</v>
      </c>
      <c r="N59" s="163"/>
      <c r="O59" s="166">
        <f t="shared" si="7"/>
        <v>0</v>
      </c>
      <c r="P59" s="163"/>
      <c r="Q59" s="163"/>
      <c r="R59" s="166">
        <f t="shared" si="8"/>
        <v>0</v>
      </c>
      <c r="S59" s="163"/>
      <c r="T59" s="163"/>
      <c r="U59" s="167">
        <f t="shared" si="9"/>
        <v>0</v>
      </c>
      <c r="W59" s="148"/>
    </row>
    <row r="60" spans="1:23" ht="22.5" customHeight="1">
      <c r="A60" s="160">
        <v>45094</v>
      </c>
      <c r="B60" s="161" t="s">
        <v>146</v>
      </c>
      <c r="C60" s="162">
        <f t="shared" si="3"/>
        <v>0</v>
      </c>
      <c r="D60" s="162">
        <f t="shared" ref="D60:E60" si="62">N60+Q60+T60</f>
        <v>0</v>
      </c>
      <c r="E60" s="163">
        <f t="shared" si="62"/>
        <v>0</v>
      </c>
      <c r="F60" s="164">
        <f t="shared" si="5"/>
        <v>0</v>
      </c>
      <c r="G60" s="163"/>
      <c r="H60" s="163"/>
      <c r="I60" s="165"/>
      <c r="J60" s="163"/>
      <c r="K60" s="163"/>
      <c r="L60" s="163"/>
      <c r="M60" s="163">
        <f t="shared" si="6"/>
        <v>0</v>
      </c>
      <c r="N60" s="163"/>
      <c r="O60" s="166">
        <f t="shared" si="7"/>
        <v>0</v>
      </c>
      <c r="P60" s="163"/>
      <c r="Q60" s="163"/>
      <c r="R60" s="166">
        <f t="shared" si="8"/>
        <v>0</v>
      </c>
      <c r="S60" s="163"/>
      <c r="T60" s="163"/>
      <c r="U60" s="167">
        <f t="shared" si="9"/>
        <v>0</v>
      </c>
      <c r="W60" s="148"/>
    </row>
    <row r="61" spans="1:23" ht="22.5" customHeight="1">
      <c r="A61" s="160">
        <v>45095</v>
      </c>
      <c r="B61" s="161" t="s">
        <v>147</v>
      </c>
      <c r="C61" s="162">
        <f t="shared" si="3"/>
        <v>0</v>
      </c>
      <c r="D61" s="162">
        <f t="shared" ref="D61:E61" si="63">N61+Q61+T61</f>
        <v>0</v>
      </c>
      <c r="E61" s="163">
        <f t="shared" si="63"/>
        <v>0</v>
      </c>
      <c r="F61" s="164">
        <f t="shared" si="5"/>
        <v>0</v>
      </c>
      <c r="G61" s="170"/>
      <c r="H61" s="163"/>
      <c r="I61" s="171"/>
      <c r="J61" s="170"/>
      <c r="K61" s="170"/>
      <c r="L61" s="170"/>
      <c r="M61" s="163">
        <f t="shared" si="6"/>
        <v>0</v>
      </c>
      <c r="N61" s="170"/>
      <c r="O61" s="166">
        <f t="shared" si="7"/>
        <v>0</v>
      </c>
      <c r="P61" s="170"/>
      <c r="Q61" s="170"/>
      <c r="R61" s="166">
        <f t="shared" si="8"/>
        <v>0</v>
      </c>
      <c r="S61" s="170"/>
      <c r="T61" s="170"/>
      <c r="U61" s="167">
        <f t="shared" si="9"/>
        <v>0</v>
      </c>
      <c r="W61" s="148"/>
    </row>
    <row r="62" spans="1:23" ht="22.5" customHeight="1">
      <c r="A62" s="160">
        <v>45096</v>
      </c>
      <c r="B62" s="161" t="s">
        <v>148</v>
      </c>
      <c r="C62" s="162">
        <f t="shared" si="3"/>
        <v>0</v>
      </c>
      <c r="D62" s="162">
        <f t="shared" ref="D62:E62" si="64">N62+Q62+T62</f>
        <v>0</v>
      </c>
      <c r="E62" s="163">
        <f t="shared" si="64"/>
        <v>0</v>
      </c>
      <c r="F62" s="164">
        <f t="shared" si="5"/>
        <v>0</v>
      </c>
      <c r="G62" s="163"/>
      <c r="H62" s="163"/>
      <c r="I62" s="165"/>
      <c r="J62" s="163"/>
      <c r="K62" s="163"/>
      <c r="L62" s="163"/>
      <c r="M62" s="163">
        <f t="shared" si="6"/>
        <v>0</v>
      </c>
      <c r="N62" s="163"/>
      <c r="O62" s="166">
        <f t="shared" si="7"/>
        <v>0</v>
      </c>
      <c r="P62" s="163"/>
      <c r="Q62" s="163"/>
      <c r="R62" s="166">
        <f t="shared" si="8"/>
        <v>0</v>
      </c>
      <c r="S62" s="163"/>
      <c r="T62" s="163"/>
      <c r="U62" s="167">
        <f t="shared" si="9"/>
        <v>0</v>
      </c>
      <c r="V62" s="174" t="s">
        <v>149</v>
      </c>
      <c r="W62" s="175">
        <f>PRESUPUESTO!J27</f>
        <v>66499.505965107979</v>
      </c>
    </row>
    <row r="63" spans="1:23" ht="22.5" customHeight="1">
      <c r="A63" s="160">
        <v>45097</v>
      </c>
      <c r="B63" s="161" t="s">
        <v>142</v>
      </c>
      <c r="C63" s="162">
        <f t="shared" si="3"/>
        <v>0</v>
      </c>
      <c r="D63" s="162">
        <f t="shared" ref="D63:E63" si="65">N63+Q63+T63</f>
        <v>0</v>
      </c>
      <c r="E63" s="163">
        <f t="shared" si="65"/>
        <v>0</v>
      </c>
      <c r="F63" s="164">
        <f t="shared" si="5"/>
        <v>0</v>
      </c>
      <c r="G63" s="163"/>
      <c r="H63" s="163"/>
      <c r="I63" s="165"/>
      <c r="J63" s="163"/>
      <c r="K63" s="163"/>
      <c r="L63" s="163"/>
      <c r="M63" s="163">
        <f t="shared" si="6"/>
        <v>0</v>
      </c>
      <c r="N63" s="163"/>
      <c r="O63" s="166">
        <f t="shared" si="7"/>
        <v>0</v>
      </c>
      <c r="P63" s="163"/>
      <c r="Q63" s="163"/>
      <c r="R63" s="166">
        <f t="shared" si="8"/>
        <v>0</v>
      </c>
      <c r="S63" s="163"/>
      <c r="T63" s="163"/>
      <c r="U63" s="167">
        <f t="shared" si="9"/>
        <v>0</v>
      </c>
      <c r="V63" s="174" t="s">
        <v>150</v>
      </c>
      <c r="W63" s="175">
        <f>SUBTOTAL(9,C37:C67)</f>
        <v>0</v>
      </c>
    </row>
    <row r="64" spans="1:23" ht="22.5" customHeight="1">
      <c r="A64" s="160">
        <v>45098</v>
      </c>
      <c r="B64" s="161" t="s">
        <v>143</v>
      </c>
      <c r="C64" s="162">
        <f t="shared" si="3"/>
        <v>0</v>
      </c>
      <c r="D64" s="162">
        <f t="shared" ref="D64:E64" si="66">N64+Q64+T64</f>
        <v>0</v>
      </c>
      <c r="E64" s="163">
        <f t="shared" si="66"/>
        <v>0</v>
      </c>
      <c r="F64" s="164">
        <f t="shared" si="5"/>
        <v>0</v>
      </c>
      <c r="G64" s="163"/>
      <c r="H64" s="163"/>
      <c r="I64" s="165"/>
      <c r="J64" s="163"/>
      <c r="K64" s="163"/>
      <c r="L64" s="163"/>
      <c r="M64" s="163">
        <f t="shared" si="6"/>
        <v>0</v>
      </c>
      <c r="N64" s="163"/>
      <c r="O64" s="166">
        <f t="shared" si="7"/>
        <v>0</v>
      </c>
      <c r="P64" s="163"/>
      <c r="Q64" s="163"/>
      <c r="R64" s="166">
        <f t="shared" si="8"/>
        <v>0</v>
      </c>
      <c r="S64" s="163"/>
      <c r="T64" s="163"/>
      <c r="U64" s="167">
        <f t="shared" si="9"/>
        <v>0</v>
      </c>
      <c r="V64" s="174" t="s">
        <v>151</v>
      </c>
      <c r="W64" s="175">
        <f>SUM(N37:N67)+SUM(Q37:Q67)+SUM(T37:T67)</f>
        <v>0</v>
      </c>
    </row>
    <row r="65" spans="1:23" ht="22.5" customHeight="1">
      <c r="A65" s="160">
        <v>45099</v>
      </c>
      <c r="B65" s="161" t="s">
        <v>144</v>
      </c>
      <c r="C65" s="162">
        <f t="shared" si="3"/>
        <v>0</v>
      </c>
      <c r="D65" s="162">
        <f t="shared" ref="D65:E65" si="67">N65+Q65+T65</f>
        <v>0</v>
      </c>
      <c r="E65" s="163">
        <f t="shared" si="67"/>
        <v>0</v>
      </c>
      <c r="F65" s="164">
        <f t="shared" si="5"/>
        <v>0</v>
      </c>
      <c r="G65" s="163"/>
      <c r="H65" s="163"/>
      <c r="I65" s="165"/>
      <c r="J65" s="163"/>
      <c r="K65" s="163"/>
      <c r="L65" s="163"/>
      <c r="M65" s="163">
        <f t="shared" si="6"/>
        <v>0</v>
      </c>
      <c r="N65" s="163"/>
      <c r="O65" s="166">
        <f t="shared" si="7"/>
        <v>0</v>
      </c>
      <c r="P65" s="163"/>
      <c r="Q65" s="163"/>
      <c r="R65" s="166">
        <f t="shared" si="8"/>
        <v>0</v>
      </c>
      <c r="S65" s="163"/>
      <c r="T65" s="163"/>
      <c r="U65" s="167">
        <f t="shared" si="9"/>
        <v>0</v>
      </c>
      <c r="V65" s="174" t="s">
        <v>152</v>
      </c>
      <c r="W65" s="175">
        <f>SUM(O37:O67)+SUM(R37:R67)+SUM(U37:U67)</f>
        <v>0</v>
      </c>
    </row>
    <row r="66" spans="1:23" ht="22.5" customHeight="1">
      <c r="A66" s="160">
        <v>45100</v>
      </c>
      <c r="B66" s="161" t="s">
        <v>145</v>
      </c>
      <c r="C66" s="162">
        <f t="shared" si="3"/>
        <v>0</v>
      </c>
      <c r="D66" s="162">
        <f t="shared" ref="D66:E66" si="68">N66+Q66+T66</f>
        <v>0</v>
      </c>
      <c r="E66" s="163">
        <f t="shared" si="68"/>
        <v>0</v>
      </c>
      <c r="F66" s="164">
        <f t="shared" si="5"/>
        <v>0</v>
      </c>
      <c r="G66" s="163"/>
      <c r="H66" s="163"/>
      <c r="I66" s="165"/>
      <c r="J66" s="163"/>
      <c r="K66" s="163"/>
      <c r="L66" s="163"/>
      <c r="M66" s="163">
        <f t="shared" si="6"/>
        <v>0</v>
      </c>
      <c r="N66" s="163"/>
      <c r="O66" s="166">
        <f t="shared" si="7"/>
        <v>0</v>
      </c>
      <c r="P66" s="163"/>
      <c r="Q66" s="163"/>
      <c r="R66" s="166">
        <f t="shared" si="8"/>
        <v>0</v>
      </c>
      <c r="S66" s="163"/>
      <c r="T66" s="163"/>
      <c r="U66" s="167">
        <f t="shared" si="9"/>
        <v>0</v>
      </c>
      <c r="V66" s="176" t="s">
        <v>153</v>
      </c>
      <c r="W66" s="177" t="e">
        <f>W63/COUNTIF(C37:C67,"&lt;&gt;0")</f>
        <v>#DIV/0!</v>
      </c>
    </row>
    <row r="67" spans="1:23" ht="22.5" customHeight="1">
      <c r="A67" s="160">
        <v>45101</v>
      </c>
      <c r="B67" s="161" t="s">
        <v>146</v>
      </c>
      <c r="C67" s="178">
        <f t="shared" si="3"/>
        <v>0</v>
      </c>
      <c r="D67" s="178">
        <f t="shared" ref="D67:E67" si="69">N67+Q67+T67</f>
        <v>0</v>
      </c>
      <c r="E67" s="179">
        <f t="shared" si="69"/>
        <v>0</v>
      </c>
      <c r="F67" s="164">
        <f t="shared" si="5"/>
        <v>0</v>
      </c>
      <c r="G67" s="184"/>
      <c r="H67" s="184"/>
      <c r="I67" s="185"/>
      <c r="J67" s="184"/>
      <c r="K67" s="184"/>
      <c r="L67" s="184"/>
      <c r="M67" s="180">
        <f t="shared" si="6"/>
        <v>0</v>
      </c>
      <c r="N67" s="184"/>
      <c r="O67" s="181">
        <f t="shared" si="7"/>
        <v>0</v>
      </c>
      <c r="P67" s="184"/>
      <c r="Q67" s="184"/>
      <c r="R67" s="181">
        <f t="shared" si="8"/>
        <v>0</v>
      </c>
      <c r="S67" s="184"/>
      <c r="T67" s="184"/>
      <c r="U67" s="182">
        <f t="shared" si="9"/>
        <v>0</v>
      </c>
      <c r="V67" s="176" t="s">
        <v>154</v>
      </c>
      <c r="W67" s="177">
        <f>W63/26</f>
        <v>0</v>
      </c>
    </row>
    <row r="68" spans="1:23" ht="22.5" customHeight="1">
      <c r="A68" s="160">
        <v>45102</v>
      </c>
      <c r="B68" s="161" t="s">
        <v>147</v>
      </c>
      <c r="C68" s="162">
        <f t="shared" si="3"/>
        <v>0</v>
      </c>
      <c r="D68" s="162">
        <f t="shared" ref="D68:E68" si="70">N68+Q68+T68</f>
        <v>0</v>
      </c>
      <c r="E68" s="163">
        <f t="shared" si="70"/>
        <v>0</v>
      </c>
      <c r="F68" s="164">
        <f t="shared" si="5"/>
        <v>0</v>
      </c>
      <c r="G68" s="163"/>
      <c r="H68" s="163"/>
      <c r="I68" s="165"/>
      <c r="J68" s="163"/>
      <c r="K68" s="163"/>
      <c r="L68" s="163"/>
      <c r="M68" s="163">
        <f t="shared" si="6"/>
        <v>0</v>
      </c>
      <c r="N68" s="163"/>
      <c r="O68" s="166">
        <f t="shared" si="7"/>
        <v>0</v>
      </c>
      <c r="P68" s="163"/>
      <c r="Q68" s="163"/>
      <c r="R68" s="166">
        <f t="shared" si="8"/>
        <v>0</v>
      </c>
      <c r="S68" s="163"/>
      <c r="T68" s="163"/>
      <c r="U68" s="167">
        <f t="shared" si="9"/>
        <v>0</v>
      </c>
      <c r="W68" s="148"/>
    </row>
    <row r="69" spans="1:23" ht="22.5" customHeight="1">
      <c r="A69" s="160">
        <v>45103</v>
      </c>
      <c r="B69" s="161" t="s">
        <v>148</v>
      </c>
      <c r="C69" s="162">
        <f t="shared" si="3"/>
        <v>0</v>
      </c>
      <c r="D69" s="162">
        <f t="shared" ref="D69:E69" si="71">N69+Q69+T69</f>
        <v>0</v>
      </c>
      <c r="E69" s="163">
        <f t="shared" si="71"/>
        <v>0</v>
      </c>
      <c r="F69" s="164">
        <f t="shared" si="5"/>
        <v>0</v>
      </c>
      <c r="G69" s="163"/>
      <c r="H69" s="163"/>
      <c r="I69" s="165"/>
      <c r="J69" s="163"/>
      <c r="K69" s="163"/>
      <c r="L69" s="163"/>
      <c r="M69" s="163">
        <f t="shared" si="6"/>
        <v>0</v>
      </c>
      <c r="N69" s="163"/>
      <c r="O69" s="166">
        <f t="shared" si="7"/>
        <v>0</v>
      </c>
      <c r="P69" s="163"/>
      <c r="Q69" s="163"/>
      <c r="R69" s="166">
        <f t="shared" si="8"/>
        <v>0</v>
      </c>
      <c r="S69" s="163"/>
      <c r="T69" s="163"/>
      <c r="U69" s="167">
        <f t="shared" si="9"/>
        <v>0</v>
      </c>
      <c r="W69" s="148"/>
    </row>
    <row r="70" spans="1:23" ht="22.5" customHeight="1">
      <c r="A70" s="160">
        <v>45104</v>
      </c>
      <c r="B70" s="161" t="s">
        <v>142</v>
      </c>
      <c r="C70" s="162">
        <f t="shared" si="3"/>
        <v>0</v>
      </c>
      <c r="D70" s="162">
        <f t="shared" ref="D70:E70" si="72">N70+Q70+T70</f>
        <v>0</v>
      </c>
      <c r="E70" s="163">
        <f t="shared" si="72"/>
        <v>0</v>
      </c>
      <c r="F70" s="164">
        <f t="shared" si="5"/>
        <v>0</v>
      </c>
      <c r="G70" s="163"/>
      <c r="H70" s="163"/>
      <c r="I70" s="165"/>
      <c r="J70" s="163"/>
      <c r="K70" s="163"/>
      <c r="L70" s="163"/>
      <c r="M70" s="163">
        <f t="shared" si="6"/>
        <v>0</v>
      </c>
      <c r="N70" s="163"/>
      <c r="O70" s="166">
        <f t="shared" si="7"/>
        <v>0</v>
      </c>
      <c r="P70" s="163"/>
      <c r="Q70" s="163"/>
      <c r="R70" s="166">
        <f t="shared" si="8"/>
        <v>0</v>
      </c>
      <c r="S70" s="163"/>
      <c r="T70" s="163"/>
      <c r="U70" s="167">
        <f t="shared" si="9"/>
        <v>0</v>
      </c>
      <c r="W70" s="148"/>
    </row>
    <row r="71" spans="1:23" ht="22.5" customHeight="1">
      <c r="A71" s="160">
        <v>45105</v>
      </c>
      <c r="B71" s="161" t="s">
        <v>143</v>
      </c>
      <c r="C71" s="162">
        <f t="shared" si="3"/>
        <v>0</v>
      </c>
      <c r="D71" s="162">
        <f t="shared" ref="D71:E71" si="73">N71+Q71+T71</f>
        <v>0</v>
      </c>
      <c r="E71" s="163">
        <f t="shared" si="73"/>
        <v>0</v>
      </c>
      <c r="F71" s="164">
        <f t="shared" si="5"/>
        <v>0</v>
      </c>
      <c r="G71" s="163"/>
      <c r="H71" s="163"/>
      <c r="I71" s="165"/>
      <c r="J71" s="163"/>
      <c r="K71" s="163"/>
      <c r="L71" s="163"/>
      <c r="M71" s="163">
        <f t="shared" si="6"/>
        <v>0</v>
      </c>
      <c r="N71" s="163"/>
      <c r="O71" s="166">
        <f t="shared" si="7"/>
        <v>0</v>
      </c>
      <c r="P71" s="163"/>
      <c r="Q71" s="163"/>
      <c r="R71" s="166">
        <f t="shared" si="8"/>
        <v>0</v>
      </c>
      <c r="S71" s="163"/>
      <c r="T71" s="163"/>
      <c r="U71" s="167">
        <f t="shared" si="9"/>
        <v>0</v>
      </c>
    </row>
    <row r="72" spans="1:23" ht="22.5" customHeight="1">
      <c r="A72" s="160">
        <v>45106</v>
      </c>
      <c r="B72" s="161" t="s">
        <v>144</v>
      </c>
      <c r="C72" s="162">
        <f t="shared" si="3"/>
        <v>0</v>
      </c>
      <c r="D72" s="162">
        <f t="shared" ref="D72:E72" si="74">N72+Q72+T72</f>
        <v>0</v>
      </c>
      <c r="E72" s="163">
        <f t="shared" si="74"/>
        <v>0</v>
      </c>
      <c r="F72" s="164">
        <f t="shared" si="5"/>
        <v>0</v>
      </c>
      <c r="G72" s="163"/>
      <c r="H72" s="163"/>
      <c r="I72" s="165"/>
      <c r="J72" s="163"/>
      <c r="K72" s="163"/>
      <c r="L72" s="163"/>
      <c r="M72" s="163">
        <f t="shared" si="6"/>
        <v>0</v>
      </c>
      <c r="N72" s="163"/>
      <c r="O72" s="166">
        <f t="shared" si="7"/>
        <v>0</v>
      </c>
      <c r="P72" s="163"/>
      <c r="Q72" s="163"/>
      <c r="R72" s="166">
        <f t="shared" si="8"/>
        <v>0</v>
      </c>
      <c r="S72" s="163"/>
      <c r="T72" s="163"/>
      <c r="U72" s="167">
        <f t="shared" si="9"/>
        <v>0</v>
      </c>
    </row>
    <row r="73" spans="1:23" ht="22.5" customHeight="1">
      <c r="A73" s="160">
        <v>45107</v>
      </c>
      <c r="B73" s="161" t="s">
        <v>145</v>
      </c>
      <c r="C73" s="162">
        <f t="shared" si="3"/>
        <v>0</v>
      </c>
      <c r="D73" s="162">
        <f t="shared" ref="D73:E73" si="75">N73+Q73+T73</f>
        <v>0</v>
      </c>
      <c r="E73" s="163">
        <f t="shared" si="75"/>
        <v>0</v>
      </c>
      <c r="F73" s="164">
        <f t="shared" si="5"/>
        <v>0</v>
      </c>
      <c r="G73" s="163"/>
      <c r="H73" s="166"/>
      <c r="I73" s="163"/>
      <c r="J73" s="163"/>
      <c r="K73" s="163"/>
      <c r="L73" s="163"/>
      <c r="M73" s="163">
        <f t="shared" si="6"/>
        <v>0</v>
      </c>
      <c r="N73" s="163"/>
      <c r="O73" s="166">
        <f t="shared" si="7"/>
        <v>0</v>
      </c>
      <c r="P73" s="163"/>
      <c r="Q73" s="163"/>
      <c r="R73" s="166">
        <f t="shared" si="8"/>
        <v>0</v>
      </c>
      <c r="S73" s="163"/>
      <c r="T73" s="163"/>
      <c r="U73" s="167">
        <f t="shared" si="9"/>
        <v>0</v>
      </c>
    </row>
    <row r="74" spans="1:23" ht="22.5" customHeight="1">
      <c r="A74" s="160">
        <v>45108</v>
      </c>
      <c r="B74" s="161" t="s">
        <v>146</v>
      </c>
      <c r="C74" s="162">
        <f t="shared" si="3"/>
        <v>0</v>
      </c>
      <c r="D74" s="162">
        <f t="shared" ref="D74:E74" si="76">N74+Q74+T74</f>
        <v>0</v>
      </c>
      <c r="E74" s="163">
        <f t="shared" si="76"/>
        <v>0</v>
      </c>
      <c r="F74" s="164">
        <f t="shared" si="5"/>
        <v>0</v>
      </c>
      <c r="G74" s="163"/>
      <c r="H74" s="163"/>
      <c r="I74" s="165"/>
      <c r="J74" s="163"/>
      <c r="K74" s="163"/>
      <c r="L74" s="163"/>
      <c r="M74" s="163">
        <f t="shared" si="6"/>
        <v>0</v>
      </c>
      <c r="N74" s="163"/>
      <c r="O74" s="166">
        <f t="shared" si="7"/>
        <v>0</v>
      </c>
      <c r="P74" s="163"/>
      <c r="Q74" s="163"/>
      <c r="R74" s="166">
        <f t="shared" si="8"/>
        <v>0</v>
      </c>
      <c r="S74" s="163"/>
      <c r="T74" s="163"/>
      <c r="U74" s="167">
        <f t="shared" si="9"/>
        <v>0</v>
      </c>
      <c r="W74" s="148"/>
    </row>
    <row r="75" spans="1:23" ht="22.5" customHeight="1">
      <c r="A75" s="160">
        <v>45109</v>
      </c>
      <c r="B75" s="161" t="s">
        <v>147</v>
      </c>
      <c r="C75" s="162">
        <f t="shared" si="3"/>
        <v>0</v>
      </c>
      <c r="D75" s="162">
        <f t="shared" ref="D75:E75" si="77">N75+Q75+T75</f>
        <v>0</v>
      </c>
      <c r="E75" s="163">
        <f t="shared" si="77"/>
        <v>0</v>
      </c>
      <c r="F75" s="164">
        <f t="shared" si="5"/>
        <v>0</v>
      </c>
      <c r="G75" s="163"/>
      <c r="H75" s="163"/>
      <c r="I75" s="165"/>
      <c r="J75" s="163"/>
      <c r="K75" s="163"/>
      <c r="L75" s="163"/>
      <c r="M75" s="163">
        <f t="shared" si="6"/>
        <v>0</v>
      </c>
      <c r="N75" s="163"/>
      <c r="O75" s="166">
        <f t="shared" si="7"/>
        <v>0</v>
      </c>
      <c r="P75" s="163"/>
      <c r="Q75" s="163"/>
      <c r="R75" s="166">
        <f t="shared" si="8"/>
        <v>0</v>
      </c>
      <c r="S75" s="163"/>
      <c r="T75" s="163"/>
      <c r="U75" s="167">
        <f t="shared" si="9"/>
        <v>0</v>
      </c>
      <c r="W75" s="148"/>
    </row>
    <row r="76" spans="1:23" ht="22.5" customHeight="1">
      <c r="A76" s="160">
        <v>45110</v>
      </c>
      <c r="B76" s="161" t="s">
        <v>148</v>
      </c>
      <c r="C76" s="162">
        <f t="shared" si="3"/>
        <v>0</v>
      </c>
      <c r="D76" s="162">
        <f t="shared" ref="D76:E76" si="78">N76+Q76+T76</f>
        <v>0</v>
      </c>
      <c r="E76" s="163">
        <f t="shared" si="78"/>
        <v>0</v>
      </c>
      <c r="F76" s="164">
        <f t="shared" si="5"/>
        <v>0</v>
      </c>
      <c r="G76" s="163"/>
      <c r="H76" s="163"/>
      <c r="I76" s="165"/>
      <c r="J76" s="163"/>
      <c r="K76" s="163"/>
      <c r="L76" s="163"/>
      <c r="M76" s="163">
        <f t="shared" si="6"/>
        <v>0</v>
      </c>
      <c r="N76" s="163"/>
      <c r="O76" s="166">
        <f t="shared" si="7"/>
        <v>0</v>
      </c>
      <c r="P76" s="163"/>
      <c r="Q76" s="163"/>
      <c r="R76" s="166">
        <f t="shared" si="8"/>
        <v>0</v>
      </c>
      <c r="S76" s="163"/>
      <c r="T76" s="163"/>
      <c r="U76" s="167">
        <f t="shared" si="9"/>
        <v>0</v>
      </c>
      <c r="W76" s="148"/>
    </row>
    <row r="77" spans="1:23" ht="22.5" customHeight="1">
      <c r="A77" s="160">
        <v>45111</v>
      </c>
      <c r="B77" s="161" t="s">
        <v>142</v>
      </c>
      <c r="C77" s="162">
        <f t="shared" si="3"/>
        <v>0</v>
      </c>
      <c r="D77" s="162">
        <f t="shared" ref="D77:E77" si="79">N77+Q77+T77</f>
        <v>0</v>
      </c>
      <c r="E77" s="163">
        <f t="shared" si="79"/>
        <v>0</v>
      </c>
      <c r="F77" s="164">
        <f t="shared" si="5"/>
        <v>0</v>
      </c>
      <c r="G77" s="163"/>
      <c r="H77" s="163"/>
      <c r="I77" s="165"/>
      <c r="J77" s="163"/>
      <c r="K77" s="163"/>
      <c r="L77" s="163"/>
      <c r="M77" s="163">
        <f t="shared" si="6"/>
        <v>0</v>
      </c>
      <c r="N77" s="163"/>
      <c r="O77" s="166">
        <f t="shared" si="7"/>
        <v>0</v>
      </c>
      <c r="P77" s="163"/>
      <c r="Q77" s="163"/>
      <c r="R77" s="166">
        <f t="shared" si="8"/>
        <v>0</v>
      </c>
      <c r="S77" s="163"/>
      <c r="T77" s="163"/>
      <c r="U77" s="167">
        <f t="shared" si="9"/>
        <v>0</v>
      </c>
      <c r="W77" s="148"/>
    </row>
    <row r="78" spans="1:23" ht="22.5" customHeight="1">
      <c r="A78" s="160">
        <v>45112</v>
      </c>
      <c r="B78" s="161" t="s">
        <v>143</v>
      </c>
      <c r="C78" s="162">
        <f t="shared" si="3"/>
        <v>0</v>
      </c>
      <c r="D78" s="162">
        <f t="shared" ref="D78:E78" si="80">N78+Q78+T78</f>
        <v>0</v>
      </c>
      <c r="E78" s="163">
        <f t="shared" si="80"/>
        <v>0</v>
      </c>
      <c r="F78" s="164">
        <f t="shared" si="5"/>
        <v>0</v>
      </c>
      <c r="G78" s="163"/>
      <c r="H78" s="163"/>
      <c r="I78" s="165"/>
      <c r="J78" s="163"/>
      <c r="K78" s="163"/>
      <c r="L78" s="163"/>
      <c r="M78" s="163">
        <f t="shared" si="6"/>
        <v>0</v>
      </c>
      <c r="N78" s="163"/>
      <c r="O78" s="166">
        <f t="shared" si="7"/>
        <v>0</v>
      </c>
      <c r="P78" s="163"/>
      <c r="Q78" s="163"/>
      <c r="R78" s="166">
        <f t="shared" si="8"/>
        <v>0</v>
      </c>
      <c r="S78" s="163"/>
      <c r="T78" s="163"/>
      <c r="U78" s="167">
        <f t="shared" si="9"/>
        <v>0</v>
      </c>
      <c r="W78" s="148"/>
    </row>
    <row r="79" spans="1:23" ht="22.5" customHeight="1">
      <c r="A79" s="160">
        <v>45113</v>
      </c>
      <c r="B79" s="161" t="s">
        <v>144</v>
      </c>
      <c r="C79" s="162">
        <f t="shared" si="3"/>
        <v>0</v>
      </c>
      <c r="D79" s="162">
        <f t="shared" ref="D79:E79" si="81">N79+Q79+T79</f>
        <v>0</v>
      </c>
      <c r="E79" s="163">
        <f t="shared" si="81"/>
        <v>0</v>
      </c>
      <c r="F79" s="164">
        <f t="shared" si="5"/>
        <v>0</v>
      </c>
      <c r="G79" s="163"/>
      <c r="H79" s="163"/>
      <c r="I79" s="165"/>
      <c r="J79" s="163"/>
      <c r="K79" s="163"/>
      <c r="L79" s="163"/>
      <c r="M79" s="163">
        <f t="shared" si="6"/>
        <v>0</v>
      </c>
      <c r="N79" s="163"/>
      <c r="O79" s="166">
        <f t="shared" si="7"/>
        <v>0</v>
      </c>
      <c r="P79" s="163"/>
      <c r="Q79" s="163"/>
      <c r="R79" s="166">
        <f t="shared" si="8"/>
        <v>0</v>
      </c>
      <c r="S79" s="163"/>
      <c r="T79" s="163"/>
      <c r="U79" s="167">
        <f t="shared" si="9"/>
        <v>0</v>
      </c>
      <c r="W79" s="148"/>
    </row>
    <row r="80" spans="1:23" ht="22.5" customHeight="1">
      <c r="A80" s="160">
        <v>45114</v>
      </c>
      <c r="B80" s="161" t="s">
        <v>145</v>
      </c>
      <c r="C80" s="162">
        <f t="shared" si="3"/>
        <v>0</v>
      </c>
      <c r="D80" s="162">
        <f t="shared" ref="D80:E80" si="82">N80+Q80+T80</f>
        <v>0</v>
      </c>
      <c r="E80" s="163">
        <f t="shared" si="82"/>
        <v>0</v>
      </c>
      <c r="F80" s="164">
        <f t="shared" si="5"/>
        <v>0</v>
      </c>
      <c r="G80" s="163"/>
      <c r="H80" s="163"/>
      <c r="I80" s="165"/>
      <c r="J80" s="163"/>
      <c r="K80" s="163"/>
      <c r="L80" s="163"/>
      <c r="M80" s="163">
        <f t="shared" si="6"/>
        <v>0</v>
      </c>
      <c r="N80" s="163"/>
      <c r="O80" s="166">
        <f t="shared" si="7"/>
        <v>0</v>
      </c>
      <c r="P80" s="163"/>
      <c r="Q80" s="163"/>
      <c r="R80" s="166">
        <f t="shared" si="8"/>
        <v>0</v>
      </c>
      <c r="S80" s="163"/>
      <c r="T80" s="163"/>
      <c r="U80" s="167">
        <f t="shared" si="9"/>
        <v>0</v>
      </c>
      <c r="W80" s="148"/>
    </row>
    <row r="81" spans="1:26" ht="22.5" customHeight="1">
      <c r="A81" s="160">
        <v>45115</v>
      </c>
      <c r="B81" s="161" t="s">
        <v>146</v>
      </c>
      <c r="C81" s="162">
        <f t="shared" si="3"/>
        <v>0</v>
      </c>
      <c r="D81" s="162">
        <f t="shared" ref="D81:E81" si="83">N81+Q81+T81</f>
        <v>0</v>
      </c>
      <c r="E81" s="163">
        <f t="shared" si="83"/>
        <v>0</v>
      </c>
      <c r="F81" s="164">
        <f t="shared" si="5"/>
        <v>0</v>
      </c>
      <c r="G81" s="170"/>
      <c r="H81" s="170"/>
      <c r="I81" s="171"/>
      <c r="J81" s="183"/>
      <c r="K81" s="183"/>
      <c r="L81" s="183"/>
      <c r="M81" s="163">
        <f t="shared" si="6"/>
        <v>0</v>
      </c>
      <c r="N81" s="170"/>
      <c r="O81" s="166">
        <f t="shared" si="7"/>
        <v>0</v>
      </c>
      <c r="P81" s="183"/>
      <c r="Q81" s="170"/>
      <c r="R81" s="166">
        <f t="shared" si="8"/>
        <v>0</v>
      </c>
      <c r="S81" s="163"/>
      <c r="T81" s="170"/>
      <c r="U81" s="167">
        <f t="shared" si="9"/>
        <v>0</v>
      </c>
      <c r="W81" s="148"/>
    </row>
    <row r="82" spans="1:26" ht="22.5" customHeight="1">
      <c r="A82" s="160">
        <v>45116</v>
      </c>
      <c r="B82" s="161" t="s">
        <v>147</v>
      </c>
      <c r="C82" s="162">
        <f t="shared" si="3"/>
        <v>0</v>
      </c>
      <c r="D82" s="162">
        <f t="shared" ref="D82:E82" si="84">N82+Q82+T82</f>
        <v>0</v>
      </c>
      <c r="E82" s="163">
        <f t="shared" si="84"/>
        <v>0</v>
      </c>
      <c r="F82" s="164">
        <f t="shared" si="5"/>
        <v>0</v>
      </c>
      <c r="G82" s="170"/>
      <c r="H82" s="170"/>
      <c r="I82" s="171"/>
      <c r="J82" s="183"/>
      <c r="K82" s="183"/>
      <c r="L82" s="183"/>
      <c r="M82" s="163">
        <f t="shared" si="6"/>
        <v>0</v>
      </c>
      <c r="N82" s="170"/>
      <c r="O82" s="166">
        <f t="shared" si="7"/>
        <v>0</v>
      </c>
      <c r="P82" s="183"/>
      <c r="Q82" s="170"/>
      <c r="R82" s="166">
        <f t="shared" si="8"/>
        <v>0</v>
      </c>
      <c r="S82" s="163"/>
      <c r="T82" s="170"/>
      <c r="U82" s="167">
        <f t="shared" si="9"/>
        <v>0</v>
      </c>
      <c r="V82" s="186"/>
      <c r="W82" s="186"/>
      <c r="X82" s="186"/>
      <c r="Y82" s="186"/>
      <c r="Z82" s="187"/>
    </row>
    <row r="83" spans="1:26" ht="22.5" customHeight="1">
      <c r="A83" s="160">
        <v>45117</v>
      </c>
      <c r="B83" s="161" t="s">
        <v>148</v>
      </c>
      <c r="C83" s="162">
        <f t="shared" si="3"/>
        <v>0</v>
      </c>
      <c r="D83" s="162">
        <f t="shared" ref="D83:E83" si="85">N83+Q83+T83</f>
        <v>0</v>
      </c>
      <c r="E83" s="163">
        <f t="shared" si="85"/>
        <v>0</v>
      </c>
      <c r="F83" s="164">
        <f t="shared" si="5"/>
        <v>0</v>
      </c>
      <c r="G83" s="163"/>
      <c r="H83" s="163"/>
      <c r="I83" s="165"/>
      <c r="J83" s="163"/>
      <c r="K83" s="163"/>
      <c r="L83" s="163"/>
      <c r="M83" s="163">
        <f t="shared" si="6"/>
        <v>0</v>
      </c>
      <c r="N83" s="163"/>
      <c r="O83" s="166">
        <f t="shared" si="7"/>
        <v>0</v>
      </c>
      <c r="P83" s="163"/>
      <c r="Q83" s="163"/>
      <c r="R83" s="166">
        <f t="shared" si="8"/>
        <v>0</v>
      </c>
      <c r="S83" s="163"/>
      <c r="T83" s="163"/>
      <c r="U83" s="167">
        <f t="shared" si="9"/>
        <v>0</v>
      </c>
      <c r="W83" s="148"/>
    </row>
    <row r="84" spans="1:26" ht="22.5" customHeight="1">
      <c r="A84" s="160">
        <v>45118</v>
      </c>
      <c r="B84" s="161" t="s">
        <v>142</v>
      </c>
      <c r="C84" s="162">
        <f t="shared" si="3"/>
        <v>0</v>
      </c>
      <c r="D84" s="162">
        <f t="shared" ref="D84:E84" si="86">N84+Q84+T84</f>
        <v>0</v>
      </c>
      <c r="E84" s="163">
        <f t="shared" si="86"/>
        <v>0</v>
      </c>
      <c r="F84" s="164">
        <f t="shared" si="5"/>
        <v>0</v>
      </c>
      <c r="G84" s="163"/>
      <c r="H84" s="163"/>
      <c r="I84" s="165"/>
      <c r="J84" s="169"/>
      <c r="K84" s="169"/>
      <c r="L84" s="169"/>
      <c r="M84" s="163">
        <f t="shared" si="6"/>
        <v>0</v>
      </c>
      <c r="N84" s="163"/>
      <c r="O84" s="166">
        <f t="shared" si="7"/>
        <v>0</v>
      </c>
      <c r="P84" s="169"/>
      <c r="Q84" s="163"/>
      <c r="R84" s="166">
        <f t="shared" si="8"/>
        <v>0</v>
      </c>
      <c r="S84" s="163"/>
      <c r="T84" s="163"/>
      <c r="U84" s="167">
        <f t="shared" si="9"/>
        <v>0</v>
      </c>
      <c r="W84" s="148"/>
    </row>
    <row r="85" spans="1:26" ht="22.5" customHeight="1">
      <c r="A85" s="160">
        <v>45119</v>
      </c>
      <c r="B85" s="161" t="s">
        <v>143</v>
      </c>
      <c r="C85" s="162">
        <f t="shared" si="3"/>
        <v>0</v>
      </c>
      <c r="D85" s="162">
        <f t="shared" ref="D85:E85" si="87">N85+Q85+T85</f>
        <v>0</v>
      </c>
      <c r="E85" s="163">
        <f t="shared" si="87"/>
        <v>0</v>
      </c>
      <c r="F85" s="164">
        <f t="shared" si="5"/>
        <v>0</v>
      </c>
      <c r="G85" s="163"/>
      <c r="H85" s="163"/>
      <c r="I85" s="165"/>
      <c r="J85" s="163"/>
      <c r="K85" s="163"/>
      <c r="L85" s="163"/>
      <c r="M85" s="163">
        <f t="shared" si="6"/>
        <v>0</v>
      </c>
      <c r="N85" s="163"/>
      <c r="O85" s="166">
        <f t="shared" si="7"/>
        <v>0</v>
      </c>
      <c r="P85" s="163"/>
      <c r="Q85" s="163"/>
      <c r="R85" s="166">
        <f t="shared" si="8"/>
        <v>0</v>
      </c>
      <c r="S85" s="163"/>
      <c r="T85" s="163"/>
      <c r="U85" s="167">
        <f t="shared" si="9"/>
        <v>0</v>
      </c>
      <c r="W85" s="148"/>
    </row>
    <row r="86" spans="1:26" ht="22.5" customHeight="1">
      <c r="A86" s="160">
        <v>45120</v>
      </c>
      <c r="B86" s="161" t="s">
        <v>144</v>
      </c>
      <c r="C86" s="162">
        <f t="shared" si="3"/>
        <v>0</v>
      </c>
      <c r="D86" s="162">
        <f t="shared" ref="D86:E86" si="88">N86+Q86+T86</f>
        <v>0</v>
      </c>
      <c r="E86" s="163">
        <f t="shared" si="88"/>
        <v>0</v>
      </c>
      <c r="F86" s="164">
        <f t="shared" si="5"/>
        <v>0</v>
      </c>
      <c r="G86" s="163"/>
      <c r="H86" s="163"/>
      <c r="I86" s="165"/>
      <c r="J86" s="163"/>
      <c r="K86" s="163"/>
      <c r="L86" s="163"/>
      <c r="M86" s="163">
        <f t="shared" si="6"/>
        <v>0</v>
      </c>
      <c r="N86" s="163"/>
      <c r="O86" s="166">
        <f t="shared" si="7"/>
        <v>0</v>
      </c>
      <c r="P86" s="163"/>
      <c r="Q86" s="163"/>
      <c r="R86" s="166">
        <f t="shared" si="8"/>
        <v>0</v>
      </c>
      <c r="S86" s="163"/>
      <c r="T86" s="163"/>
      <c r="U86" s="167">
        <f t="shared" si="9"/>
        <v>0</v>
      </c>
      <c r="W86" s="148"/>
    </row>
    <row r="87" spans="1:26" ht="22.5" customHeight="1">
      <c r="A87" s="160">
        <v>45121</v>
      </c>
      <c r="B87" s="161" t="s">
        <v>145</v>
      </c>
      <c r="C87" s="162">
        <f t="shared" si="3"/>
        <v>0</v>
      </c>
      <c r="D87" s="162">
        <f t="shared" ref="D87:E87" si="89">N87+Q87+T87</f>
        <v>0</v>
      </c>
      <c r="E87" s="163">
        <f t="shared" si="89"/>
        <v>0</v>
      </c>
      <c r="F87" s="164">
        <f t="shared" si="5"/>
        <v>0</v>
      </c>
      <c r="G87" s="163"/>
      <c r="H87" s="163"/>
      <c r="I87" s="165"/>
      <c r="J87" s="163"/>
      <c r="K87" s="163"/>
      <c r="L87" s="163"/>
      <c r="M87" s="163">
        <f t="shared" si="6"/>
        <v>0</v>
      </c>
      <c r="N87" s="163"/>
      <c r="O87" s="166">
        <f t="shared" si="7"/>
        <v>0</v>
      </c>
      <c r="P87" s="163"/>
      <c r="Q87" s="163"/>
      <c r="R87" s="166">
        <f t="shared" si="8"/>
        <v>0</v>
      </c>
      <c r="S87" s="163"/>
      <c r="T87" s="163"/>
      <c r="U87" s="167">
        <f t="shared" si="9"/>
        <v>0</v>
      </c>
      <c r="W87" s="148"/>
    </row>
    <row r="88" spans="1:26" ht="22.5" customHeight="1">
      <c r="A88" s="160">
        <v>45122</v>
      </c>
      <c r="B88" s="161" t="s">
        <v>146</v>
      </c>
      <c r="C88" s="162">
        <f t="shared" si="3"/>
        <v>0</v>
      </c>
      <c r="D88" s="162">
        <f t="shared" ref="D88:E88" si="90">N88+Q88+T88</f>
        <v>0</v>
      </c>
      <c r="E88" s="163">
        <f t="shared" si="90"/>
        <v>0</v>
      </c>
      <c r="F88" s="164">
        <f t="shared" si="5"/>
        <v>0</v>
      </c>
      <c r="G88" s="170"/>
      <c r="H88" s="163"/>
      <c r="I88" s="171"/>
      <c r="J88" s="170"/>
      <c r="K88" s="170"/>
      <c r="L88" s="170"/>
      <c r="M88" s="163">
        <f t="shared" si="6"/>
        <v>0</v>
      </c>
      <c r="N88" s="170"/>
      <c r="O88" s="166">
        <f t="shared" si="7"/>
        <v>0</v>
      </c>
      <c r="P88" s="170"/>
      <c r="Q88" s="170"/>
      <c r="R88" s="166">
        <f t="shared" si="8"/>
        <v>0</v>
      </c>
      <c r="S88" s="163"/>
      <c r="T88" s="170"/>
      <c r="U88" s="167">
        <f t="shared" si="9"/>
        <v>0</v>
      </c>
      <c r="W88" s="148"/>
    </row>
    <row r="89" spans="1:26" ht="22.5" customHeight="1">
      <c r="A89" s="160">
        <v>45123</v>
      </c>
      <c r="B89" s="161" t="s">
        <v>147</v>
      </c>
      <c r="C89" s="162">
        <f t="shared" si="3"/>
        <v>0</v>
      </c>
      <c r="D89" s="162">
        <f t="shared" ref="D89:E89" si="91">N89+Q89+T89</f>
        <v>0</v>
      </c>
      <c r="E89" s="163">
        <f t="shared" si="91"/>
        <v>0</v>
      </c>
      <c r="F89" s="164">
        <f t="shared" si="5"/>
        <v>0</v>
      </c>
      <c r="G89" s="163"/>
      <c r="H89" s="163"/>
      <c r="I89" s="165"/>
      <c r="J89" s="163"/>
      <c r="K89" s="163"/>
      <c r="L89" s="163"/>
      <c r="M89" s="163">
        <f t="shared" si="6"/>
        <v>0</v>
      </c>
      <c r="N89" s="163"/>
      <c r="O89" s="166">
        <f t="shared" si="7"/>
        <v>0</v>
      </c>
      <c r="P89" s="163"/>
      <c r="Q89" s="163"/>
      <c r="R89" s="166">
        <f t="shared" si="8"/>
        <v>0</v>
      </c>
      <c r="S89" s="163"/>
      <c r="T89" s="163"/>
      <c r="U89" s="167">
        <f t="shared" si="9"/>
        <v>0</v>
      </c>
      <c r="W89" s="148"/>
    </row>
    <row r="90" spans="1:26" ht="22.5" customHeight="1">
      <c r="A90" s="160">
        <v>45124</v>
      </c>
      <c r="B90" s="161" t="s">
        <v>148</v>
      </c>
      <c r="C90" s="162">
        <f t="shared" si="3"/>
        <v>0</v>
      </c>
      <c r="D90" s="162">
        <f t="shared" ref="D90:E90" si="92">N90+Q90+T90</f>
        <v>0</v>
      </c>
      <c r="E90" s="163">
        <f t="shared" si="92"/>
        <v>0</v>
      </c>
      <c r="F90" s="164">
        <f t="shared" si="5"/>
        <v>0</v>
      </c>
      <c r="G90" s="163"/>
      <c r="H90" s="163"/>
      <c r="I90" s="165"/>
      <c r="J90" s="163"/>
      <c r="K90" s="163"/>
      <c r="L90" s="163"/>
      <c r="M90" s="163">
        <f t="shared" si="6"/>
        <v>0</v>
      </c>
      <c r="N90" s="163"/>
      <c r="O90" s="166">
        <f t="shared" si="7"/>
        <v>0</v>
      </c>
      <c r="P90" s="163"/>
      <c r="Q90" s="163"/>
      <c r="R90" s="166">
        <f t="shared" si="8"/>
        <v>0</v>
      </c>
      <c r="S90" s="163"/>
      <c r="T90" s="163"/>
      <c r="U90" s="167">
        <f t="shared" si="9"/>
        <v>0</v>
      </c>
      <c r="W90" s="148"/>
    </row>
    <row r="91" spans="1:26" ht="22.5" customHeight="1">
      <c r="A91" s="160">
        <v>45125</v>
      </c>
      <c r="B91" s="161" t="s">
        <v>142</v>
      </c>
      <c r="C91" s="162">
        <f t="shared" si="3"/>
        <v>0</v>
      </c>
      <c r="D91" s="162">
        <f t="shared" ref="D91:E91" si="93">N91+Q91+T91</f>
        <v>0</v>
      </c>
      <c r="E91" s="163">
        <f t="shared" si="93"/>
        <v>0</v>
      </c>
      <c r="F91" s="164">
        <f t="shared" si="5"/>
        <v>0</v>
      </c>
      <c r="G91" s="170"/>
      <c r="H91" s="163"/>
      <c r="I91" s="171"/>
      <c r="J91" s="170"/>
      <c r="K91" s="170"/>
      <c r="L91" s="170"/>
      <c r="M91" s="163">
        <f t="shared" si="6"/>
        <v>0</v>
      </c>
      <c r="N91" s="170"/>
      <c r="O91" s="166">
        <f t="shared" si="7"/>
        <v>0</v>
      </c>
      <c r="P91" s="170"/>
      <c r="Q91" s="170"/>
      <c r="R91" s="166">
        <f t="shared" si="8"/>
        <v>0</v>
      </c>
      <c r="S91" s="163"/>
      <c r="T91" s="170"/>
      <c r="U91" s="167">
        <f t="shared" si="9"/>
        <v>0</v>
      </c>
      <c r="W91" s="148"/>
    </row>
    <row r="92" spans="1:26" ht="22.5" customHeight="1">
      <c r="A92" s="160">
        <v>45126</v>
      </c>
      <c r="B92" s="161" t="s">
        <v>143</v>
      </c>
      <c r="C92" s="162">
        <f t="shared" si="3"/>
        <v>0</v>
      </c>
      <c r="D92" s="162">
        <f t="shared" ref="D92:E92" si="94">N92+Q92+T92</f>
        <v>0</v>
      </c>
      <c r="E92" s="163">
        <f t="shared" si="94"/>
        <v>0</v>
      </c>
      <c r="F92" s="164">
        <f t="shared" si="5"/>
        <v>0</v>
      </c>
      <c r="G92" s="163"/>
      <c r="H92" s="163"/>
      <c r="I92" s="165"/>
      <c r="J92" s="163"/>
      <c r="K92" s="163"/>
      <c r="L92" s="163"/>
      <c r="M92" s="163">
        <f t="shared" si="6"/>
        <v>0</v>
      </c>
      <c r="N92" s="163"/>
      <c r="O92" s="166">
        <f t="shared" si="7"/>
        <v>0</v>
      </c>
      <c r="P92" s="163"/>
      <c r="Q92" s="163"/>
      <c r="R92" s="166">
        <f t="shared" si="8"/>
        <v>0</v>
      </c>
      <c r="S92" s="163"/>
      <c r="T92" s="163"/>
      <c r="U92" s="167">
        <f t="shared" si="9"/>
        <v>0</v>
      </c>
      <c r="V92" s="174" t="s">
        <v>149</v>
      </c>
      <c r="W92" s="175">
        <f>PRESUPUESTO!M27</f>
        <v>69435.995023157215</v>
      </c>
    </row>
    <row r="93" spans="1:26" ht="22.5" customHeight="1">
      <c r="A93" s="160">
        <v>45127</v>
      </c>
      <c r="B93" s="161" t="s">
        <v>144</v>
      </c>
      <c r="C93" s="162">
        <f t="shared" si="3"/>
        <v>0</v>
      </c>
      <c r="D93" s="162">
        <f t="shared" ref="D93:E93" si="95">N93+Q93+T93</f>
        <v>0</v>
      </c>
      <c r="E93" s="163">
        <f t="shared" si="95"/>
        <v>0</v>
      </c>
      <c r="F93" s="164">
        <f t="shared" si="5"/>
        <v>0</v>
      </c>
      <c r="G93" s="163"/>
      <c r="H93" s="163"/>
      <c r="I93" s="165"/>
      <c r="J93" s="163"/>
      <c r="K93" s="163"/>
      <c r="L93" s="163"/>
      <c r="M93" s="163">
        <f t="shared" si="6"/>
        <v>0</v>
      </c>
      <c r="N93" s="163"/>
      <c r="O93" s="166">
        <f t="shared" si="7"/>
        <v>0</v>
      </c>
      <c r="P93" s="163"/>
      <c r="Q93" s="163"/>
      <c r="R93" s="166">
        <f t="shared" si="8"/>
        <v>0</v>
      </c>
      <c r="S93" s="163"/>
      <c r="T93" s="163"/>
      <c r="U93" s="167">
        <f t="shared" si="9"/>
        <v>0</v>
      </c>
      <c r="V93" s="174" t="s">
        <v>150</v>
      </c>
      <c r="W93" s="175">
        <f>SUBTOTAL(9,C68:C97)</f>
        <v>0</v>
      </c>
    </row>
    <row r="94" spans="1:26" ht="22.5" customHeight="1">
      <c r="A94" s="160">
        <v>45128</v>
      </c>
      <c r="B94" s="161" t="s">
        <v>145</v>
      </c>
      <c r="C94" s="162">
        <f t="shared" si="3"/>
        <v>0</v>
      </c>
      <c r="D94" s="162">
        <f t="shared" ref="D94:E94" si="96">N94+Q94+T94</f>
        <v>0</v>
      </c>
      <c r="E94" s="163">
        <f t="shared" si="96"/>
        <v>0</v>
      </c>
      <c r="F94" s="164">
        <f t="shared" si="5"/>
        <v>0</v>
      </c>
      <c r="G94" s="163"/>
      <c r="H94" s="163"/>
      <c r="I94" s="165"/>
      <c r="J94" s="163"/>
      <c r="K94" s="163"/>
      <c r="L94" s="163"/>
      <c r="M94" s="163">
        <f t="shared" si="6"/>
        <v>0</v>
      </c>
      <c r="N94" s="163"/>
      <c r="O94" s="166">
        <f t="shared" si="7"/>
        <v>0</v>
      </c>
      <c r="P94" s="163"/>
      <c r="Q94" s="163"/>
      <c r="R94" s="166">
        <f t="shared" si="8"/>
        <v>0</v>
      </c>
      <c r="S94" s="163"/>
      <c r="T94" s="163"/>
      <c r="U94" s="167">
        <f t="shared" si="9"/>
        <v>0</v>
      </c>
      <c r="V94" s="174" t="s">
        <v>151</v>
      </c>
      <c r="W94" s="175">
        <f>SUM(N68:N97)+SUM(Q68:Q97)+SUM(T68:T97)</f>
        <v>0</v>
      </c>
    </row>
    <row r="95" spans="1:26" ht="22.5" customHeight="1">
      <c r="A95" s="160">
        <v>45129</v>
      </c>
      <c r="B95" s="161" t="s">
        <v>146</v>
      </c>
      <c r="C95" s="162">
        <f t="shared" si="3"/>
        <v>0</v>
      </c>
      <c r="D95" s="162">
        <f t="shared" ref="D95:E95" si="97">N95+Q95+T95</f>
        <v>0</v>
      </c>
      <c r="E95" s="163">
        <f t="shared" si="97"/>
        <v>0</v>
      </c>
      <c r="F95" s="164">
        <f t="shared" si="5"/>
        <v>0</v>
      </c>
      <c r="G95" s="163"/>
      <c r="H95" s="163"/>
      <c r="I95" s="165"/>
      <c r="J95" s="163"/>
      <c r="K95" s="163"/>
      <c r="L95" s="163"/>
      <c r="M95" s="163">
        <f t="shared" si="6"/>
        <v>0</v>
      </c>
      <c r="N95" s="163"/>
      <c r="O95" s="166">
        <f t="shared" si="7"/>
        <v>0</v>
      </c>
      <c r="P95" s="163"/>
      <c r="Q95" s="163"/>
      <c r="R95" s="166">
        <f t="shared" si="8"/>
        <v>0</v>
      </c>
      <c r="S95" s="163"/>
      <c r="T95" s="163"/>
      <c r="U95" s="167">
        <f t="shared" si="9"/>
        <v>0</v>
      </c>
      <c r="V95" s="174" t="s">
        <v>152</v>
      </c>
      <c r="W95" s="175">
        <f>SUM(O68:O97)+SUM(R68:R97)+SUM(U68:U97)</f>
        <v>0</v>
      </c>
    </row>
    <row r="96" spans="1:26" ht="22.5" customHeight="1">
      <c r="A96" s="160">
        <v>45130</v>
      </c>
      <c r="B96" s="161" t="s">
        <v>147</v>
      </c>
      <c r="C96" s="162">
        <f t="shared" si="3"/>
        <v>0</v>
      </c>
      <c r="D96" s="162">
        <f t="shared" ref="D96:E96" si="98">N96+Q96+T96</f>
        <v>0</v>
      </c>
      <c r="E96" s="163">
        <f t="shared" si="98"/>
        <v>0</v>
      </c>
      <c r="F96" s="164">
        <f t="shared" si="5"/>
        <v>0</v>
      </c>
      <c r="G96" s="186"/>
      <c r="H96" s="186"/>
      <c r="I96" s="188"/>
      <c r="J96" s="186"/>
      <c r="K96" s="186"/>
      <c r="L96" s="186"/>
      <c r="M96" s="186"/>
      <c r="N96" s="186"/>
      <c r="O96" s="187"/>
      <c r="P96" s="186"/>
      <c r="Q96" s="186"/>
      <c r="R96" s="187"/>
      <c r="S96" s="186"/>
      <c r="T96" s="186"/>
      <c r="U96" s="189"/>
      <c r="V96" s="176" t="s">
        <v>153</v>
      </c>
      <c r="W96" s="177" t="e">
        <f>W93/COUNTIF(C68:C97,"&lt;&gt;0")</f>
        <v>#DIV/0!</v>
      </c>
    </row>
    <row r="97" spans="1:23" ht="22.5" customHeight="1">
      <c r="A97" s="160">
        <v>45131</v>
      </c>
      <c r="B97" s="161" t="s">
        <v>148</v>
      </c>
      <c r="C97" s="178">
        <f t="shared" si="3"/>
        <v>0</v>
      </c>
      <c r="D97" s="178">
        <f t="shared" ref="D97:E97" si="99">N97+Q97+T97</f>
        <v>0</v>
      </c>
      <c r="E97" s="179">
        <f t="shared" si="99"/>
        <v>0</v>
      </c>
      <c r="F97" s="164">
        <f t="shared" si="5"/>
        <v>0</v>
      </c>
      <c r="G97" s="163"/>
      <c r="H97" s="163"/>
      <c r="I97" s="165"/>
      <c r="J97" s="163"/>
      <c r="K97" s="163"/>
      <c r="L97" s="163"/>
      <c r="M97" s="163">
        <f t="shared" ref="M97:M250" si="100">I97+J97-K97-L97</f>
        <v>0</v>
      </c>
      <c r="N97" s="163"/>
      <c r="O97" s="166">
        <f t="shared" ref="O97:O250" si="101">M97-N97</f>
        <v>0</v>
      </c>
      <c r="P97" s="163"/>
      <c r="Q97" s="163"/>
      <c r="R97" s="166">
        <f t="shared" ref="R97:R250" si="102">P97-Q97</f>
        <v>0</v>
      </c>
      <c r="S97" s="163"/>
      <c r="T97" s="163"/>
      <c r="U97" s="167">
        <f t="shared" ref="U97:U248" si="103">S97-T97</f>
        <v>0</v>
      </c>
      <c r="V97" s="176" t="s">
        <v>154</v>
      </c>
      <c r="W97" s="177">
        <f>W93/26</f>
        <v>0</v>
      </c>
    </row>
    <row r="98" spans="1:23" ht="22.5" customHeight="1">
      <c r="A98" s="160">
        <v>45132</v>
      </c>
      <c r="B98" s="161" t="s">
        <v>142</v>
      </c>
      <c r="C98" s="162">
        <f t="shared" si="3"/>
        <v>0</v>
      </c>
      <c r="D98" s="162">
        <f t="shared" ref="D98:E98" si="104">N98+Q98+T98</f>
        <v>0</v>
      </c>
      <c r="E98" s="163">
        <f t="shared" si="104"/>
        <v>0</v>
      </c>
      <c r="F98" s="164">
        <f t="shared" si="5"/>
        <v>0</v>
      </c>
      <c r="G98" s="163"/>
      <c r="H98" s="163"/>
      <c r="I98" s="165"/>
      <c r="J98" s="163"/>
      <c r="K98" s="163"/>
      <c r="L98" s="163"/>
      <c r="M98" s="163">
        <f t="shared" si="100"/>
        <v>0</v>
      </c>
      <c r="N98" s="163"/>
      <c r="O98" s="166">
        <f t="shared" si="101"/>
        <v>0</v>
      </c>
      <c r="P98" s="163"/>
      <c r="Q98" s="163"/>
      <c r="R98" s="166">
        <f t="shared" si="102"/>
        <v>0</v>
      </c>
      <c r="S98" s="163"/>
      <c r="T98" s="163"/>
      <c r="U98" s="167">
        <f t="shared" si="103"/>
        <v>0</v>
      </c>
      <c r="W98" s="148"/>
    </row>
    <row r="99" spans="1:23" ht="22.5" customHeight="1">
      <c r="A99" s="160">
        <v>45133</v>
      </c>
      <c r="B99" s="161" t="s">
        <v>143</v>
      </c>
      <c r="C99" s="162">
        <f t="shared" si="3"/>
        <v>0</v>
      </c>
      <c r="D99" s="162">
        <f t="shared" ref="D99:E99" si="105">N99+Q99+T99</f>
        <v>0</v>
      </c>
      <c r="E99" s="163">
        <f t="shared" si="105"/>
        <v>0</v>
      </c>
      <c r="F99" s="164">
        <f t="shared" si="5"/>
        <v>0</v>
      </c>
      <c r="G99" s="163"/>
      <c r="H99" s="163"/>
      <c r="I99" s="165"/>
      <c r="J99" s="163"/>
      <c r="K99" s="163"/>
      <c r="L99" s="163"/>
      <c r="M99" s="163">
        <f t="shared" si="100"/>
        <v>0</v>
      </c>
      <c r="N99" s="163"/>
      <c r="O99" s="166">
        <f t="shared" si="101"/>
        <v>0</v>
      </c>
      <c r="P99" s="163"/>
      <c r="Q99" s="163"/>
      <c r="R99" s="166">
        <f t="shared" si="102"/>
        <v>0</v>
      </c>
      <c r="S99" s="163"/>
      <c r="T99" s="163"/>
      <c r="U99" s="167">
        <f t="shared" si="103"/>
        <v>0</v>
      </c>
      <c r="W99" s="148"/>
    </row>
    <row r="100" spans="1:23" ht="22.5" customHeight="1">
      <c r="A100" s="160">
        <v>45134</v>
      </c>
      <c r="B100" s="161" t="s">
        <v>144</v>
      </c>
      <c r="C100" s="162">
        <f t="shared" si="3"/>
        <v>0</v>
      </c>
      <c r="D100" s="162">
        <f t="shared" ref="D100:E100" si="106">N100+Q100+T100</f>
        <v>0</v>
      </c>
      <c r="E100" s="163">
        <f t="shared" si="106"/>
        <v>0</v>
      </c>
      <c r="F100" s="164">
        <f t="shared" si="5"/>
        <v>0</v>
      </c>
      <c r="G100" s="163"/>
      <c r="H100" s="163"/>
      <c r="I100" s="165"/>
      <c r="J100" s="163"/>
      <c r="K100" s="163"/>
      <c r="L100" s="163"/>
      <c r="M100" s="163">
        <f t="shared" si="100"/>
        <v>0</v>
      </c>
      <c r="N100" s="163"/>
      <c r="O100" s="166">
        <f t="shared" si="101"/>
        <v>0</v>
      </c>
      <c r="P100" s="163"/>
      <c r="Q100" s="163"/>
      <c r="R100" s="166">
        <f t="shared" si="102"/>
        <v>0</v>
      </c>
      <c r="S100" s="163"/>
      <c r="T100" s="163"/>
      <c r="U100" s="167">
        <f t="shared" si="103"/>
        <v>0</v>
      </c>
      <c r="W100" s="148"/>
    </row>
    <row r="101" spans="1:23" ht="22.5" customHeight="1">
      <c r="A101" s="160">
        <v>45135</v>
      </c>
      <c r="B101" s="161" t="s">
        <v>145</v>
      </c>
      <c r="C101" s="162">
        <f t="shared" si="3"/>
        <v>0</v>
      </c>
      <c r="D101" s="162">
        <f t="shared" ref="D101:E101" si="107">N101+Q101+T101</f>
        <v>0</v>
      </c>
      <c r="E101" s="163">
        <f t="shared" si="107"/>
        <v>0</v>
      </c>
      <c r="F101" s="164">
        <f t="shared" si="5"/>
        <v>0</v>
      </c>
      <c r="G101" s="163"/>
      <c r="H101" s="163"/>
      <c r="I101" s="165"/>
      <c r="J101" s="163"/>
      <c r="K101" s="163"/>
      <c r="L101" s="163"/>
      <c r="M101" s="163">
        <f t="shared" si="100"/>
        <v>0</v>
      </c>
      <c r="N101" s="163"/>
      <c r="O101" s="166">
        <f t="shared" si="101"/>
        <v>0</v>
      </c>
      <c r="P101" s="163"/>
      <c r="Q101" s="163"/>
      <c r="R101" s="166">
        <f t="shared" si="102"/>
        <v>0</v>
      </c>
      <c r="S101" s="163"/>
      <c r="T101" s="163"/>
      <c r="U101" s="167">
        <f t="shared" si="103"/>
        <v>0</v>
      </c>
      <c r="W101" s="148"/>
    </row>
    <row r="102" spans="1:23" ht="22.5" customHeight="1">
      <c r="A102" s="160">
        <v>45136</v>
      </c>
      <c r="B102" s="161" t="s">
        <v>146</v>
      </c>
      <c r="C102" s="162">
        <f t="shared" si="3"/>
        <v>0</v>
      </c>
      <c r="D102" s="162">
        <f t="shared" ref="D102:E102" si="108">N102+Q102+T102</f>
        <v>0</v>
      </c>
      <c r="E102" s="163">
        <f t="shared" si="108"/>
        <v>0</v>
      </c>
      <c r="F102" s="164">
        <f t="shared" si="5"/>
        <v>0</v>
      </c>
      <c r="G102" s="163"/>
      <c r="H102" s="163"/>
      <c r="I102" s="165"/>
      <c r="J102" s="163"/>
      <c r="K102" s="163"/>
      <c r="L102" s="163"/>
      <c r="M102" s="163">
        <f t="shared" si="100"/>
        <v>0</v>
      </c>
      <c r="N102" s="163"/>
      <c r="O102" s="166">
        <f t="shared" si="101"/>
        <v>0</v>
      </c>
      <c r="P102" s="163"/>
      <c r="Q102" s="163"/>
      <c r="R102" s="166">
        <f t="shared" si="102"/>
        <v>0</v>
      </c>
      <c r="S102" s="163"/>
      <c r="T102" s="163"/>
      <c r="U102" s="167">
        <f t="shared" si="103"/>
        <v>0</v>
      </c>
    </row>
    <row r="103" spans="1:23" ht="22.5" customHeight="1">
      <c r="A103" s="160">
        <v>45137</v>
      </c>
      <c r="B103" s="161" t="s">
        <v>147</v>
      </c>
      <c r="C103" s="162">
        <f t="shared" si="3"/>
        <v>0</v>
      </c>
      <c r="D103" s="162">
        <f t="shared" ref="D103:E103" si="109">N103+Q103+T103</f>
        <v>0</v>
      </c>
      <c r="E103" s="163">
        <f t="shared" si="109"/>
        <v>0</v>
      </c>
      <c r="F103" s="164">
        <f t="shared" si="5"/>
        <v>0</v>
      </c>
      <c r="G103" s="163"/>
      <c r="H103" s="163"/>
      <c r="I103" s="165"/>
      <c r="J103" s="163"/>
      <c r="K103" s="163"/>
      <c r="L103" s="163"/>
      <c r="M103" s="163">
        <f t="shared" si="100"/>
        <v>0</v>
      </c>
      <c r="N103" s="163"/>
      <c r="O103" s="166">
        <f t="shared" si="101"/>
        <v>0</v>
      </c>
      <c r="P103" s="163"/>
      <c r="Q103" s="163"/>
      <c r="R103" s="166">
        <f t="shared" si="102"/>
        <v>0</v>
      </c>
      <c r="S103" s="163"/>
      <c r="T103" s="163"/>
      <c r="U103" s="167">
        <f t="shared" si="103"/>
        <v>0</v>
      </c>
    </row>
    <row r="104" spans="1:23" ht="22.5" customHeight="1">
      <c r="A104" s="160">
        <v>45138</v>
      </c>
      <c r="B104" s="161" t="s">
        <v>148</v>
      </c>
      <c r="C104" s="162">
        <f t="shared" si="3"/>
        <v>0</v>
      </c>
      <c r="D104" s="162">
        <f t="shared" ref="D104:E104" si="110">N104+Q104+T104</f>
        <v>0</v>
      </c>
      <c r="E104" s="163">
        <f t="shared" si="110"/>
        <v>0</v>
      </c>
      <c r="F104" s="164">
        <f t="shared" si="5"/>
        <v>0</v>
      </c>
      <c r="G104" s="163"/>
      <c r="H104" s="163"/>
      <c r="I104" s="165"/>
      <c r="J104" s="163"/>
      <c r="K104" s="163"/>
      <c r="L104" s="163"/>
      <c r="M104" s="163">
        <f t="shared" si="100"/>
        <v>0</v>
      </c>
      <c r="N104" s="163"/>
      <c r="O104" s="166">
        <f t="shared" si="101"/>
        <v>0</v>
      </c>
      <c r="P104" s="163"/>
      <c r="Q104" s="163"/>
      <c r="R104" s="166">
        <f t="shared" si="102"/>
        <v>0</v>
      </c>
      <c r="S104" s="163"/>
      <c r="T104" s="163"/>
      <c r="U104" s="167">
        <f t="shared" si="103"/>
        <v>0</v>
      </c>
    </row>
    <row r="105" spans="1:23" ht="22.5" customHeight="1">
      <c r="A105" s="160">
        <v>45139</v>
      </c>
      <c r="B105" s="161" t="s">
        <v>142</v>
      </c>
      <c r="C105" s="162">
        <f t="shared" si="3"/>
        <v>0</v>
      </c>
      <c r="D105" s="162">
        <f t="shared" ref="D105:E105" si="111">N105+Q105+T105</f>
        <v>0</v>
      </c>
      <c r="E105" s="163">
        <f t="shared" si="111"/>
        <v>0</v>
      </c>
      <c r="F105" s="164">
        <f t="shared" si="5"/>
        <v>0</v>
      </c>
      <c r="G105" s="163"/>
      <c r="H105" s="163"/>
      <c r="I105" s="165"/>
      <c r="J105" s="163"/>
      <c r="K105" s="163"/>
      <c r="L105" s="163"/>
      <c r="M105" s="163">
        <f t="shared" si="100"/>
        <v>0</v>
      </c>
      <c r="N105" s="163"/>
      <c r="O105" s="166">
        <f t="shared" si="101"/>
        <v>0</v>
      </c>
      <c r="P105" s="163"/>
      <c r="Q105" s="163"/>
      <c r="R105" s="166">
        <f t="shared" si="102"/>
        <v>0</v>
      </c>
      <c r="S105" s="163"/>
      <c r="T105" s="163"/>
      <c r="U105" s="167">
        <f t="shared" si="103"/>
        <v>0</v>
      </c>
      <c r="W105" s="148"/>
    </row>
    <row r="106" spans="1:23" ht="22.5" customHeight="1">
      <c r="A106" s="160">
        <v>45140</v>
      </c>
      <c r="B106" s="161" t="s">
        <v>143</v>
      </c>
      <c r="C106" s="162">
        <f t="shared" si="3"/>
        <v>0</v>
      </c>
      <c r="D106" s="162">
        <f t="shared" ref="D106:E106" si="112">N106+Q106+T106</f>
        <v>0</v>
      </c>
      <c r="E106" s="163">
        <f t="shared" si="112"/>
        <v>0</v>
      </c>
      <c r="F106" s="164">
        <f t="shared" si="5"/>
        <v>0</v>
      </c>
      <c r="G106" s="163"/>
      <c r="H106" s="163"/>
      <c r="I106" s="165"/>
      <c r="J106" s="163"/>
      <c r="K106" s="163"/>
      <c r="L106" s="163"/>
      <c r="M106" s="163">
        <f t="shared" si="100"/>
        <v>0</v>
      </c>
      <c r="N106" s="163"/>
      <c r="O106" s="166">
        <f t="shared" si="101"/>
        <v>0</v>
      </c>
      <c r="P106" s="163"/>
      <c r="Q106" s="163"/>
      <c r="R106" s="166">
        <f t="shared" si="102"/>
        <v>0</v>
      </c>
      <c r="S106" s="163"/>
      <c r="T106" s="163"/>
      <c r="U106" s="167">
        <f t="shared" si="103"/>
        <v>0</v>
      </c>
      <c r="W106" s="148"/>
    </row>
    <row r="107" spans="1:23" ht="22.5" customHeight="1">
      <c r="A107" s="160">
        <v>45141</v>
      </c>
      <c r="B107" s="161" t="s">
        <v>144</v>
      </c>
      <c r="C107" s="162">
        <f t="shared" si="3"/>
        <v>0</v>
      </c>
      <c r="D107" s="162">
        <f t="shared" ref="D107:E107" si="113">N107+Q107+T107</f>
        <v>0</v>
      </c>
      <c r="E107" s="163">
        <f t="shared" si="113"/>
        <v>0</v>
      </c>
      <c r="F107" s="164">
        <f t="shared" si="5"/>
        <v>0</v>
      </c>
      <c r="G107" s="163"/>
      <c r="H107" s="163"/>
      <c r="I107" s="165"/>
      <c r="J107" s="163"/>
      <c r="K107" s="163"/>
      <c r="L107" s="163"/>
      <c r="M107" s="163">
        <f t="shared" si="100"/>
        <v>0</v>
      </c>
      <c r="N107" s="163"/>
      <c r="O107" s="166">
        <f t="shared" si="101"/>
        <v>0</v>
      </c>
      <c r="P107" s="163"/>
      <c r="Q107" s="163"/>
      <c r="R107" s="166">
        <f t="shared" si="102"/>
        <v>0</v>
      </c>
      <c r="S107" s="163"/>
      <c r="T107" s="163"/>
      <c r="U107" s="167">
        <f t="shared" si="103"/>
        <v>0</v>
      </c>
      <c r="W107" s="148"/>
    </row>
    <row r="108" spans="1:23" ht="22.5" customHeight="1">
      <c r="A108" s="160">
        <v>45142</v>
      </c>
      <c r="B108" s="161" t="s">
        <v>145</v>
      </c>
      <c r="C108" s="162">
        <f t="shared" si="3"/>
        <v>0</v>
      </c>
      <c r="D108" s="162">
        <f t="shared" ref="D108:E108" si="114">N108+Q108+T108</f>
        <v>0</v>
      </c>
      <c r="E108" s="163">
        <f t="shared" si="114"/>
        <v>0</v>
      </c>
      <c r="F108" s="164">
        <f t="shared" si="5"/>
        <v>0</v>
      </c>
      <c r="G108" s="163"/>
      <c r="H108" s="163"/>
      <c r="I108" s="165"/>
      <c r="J108" s="163"/>
      <c r="K108" s="163"/>
      <c r="L108" s="163"/>
      <c r="M108" s="163">
        <f t="shared" si="100"/>
        <v>0</v>
      </c>
      <c r="N108" s="163"/>
      <c r="O108" s="166">
        <f t="shared" si="101"/>
        <v>0</v>
      </c>
      <c r="P108" s="163"/>
      <c r="Q108" s="163"/>
      <c r="R108" s="166">
        <f t="shared" si="102"/>
        <v>0</v>
      </c>
      <c r="S108" s="163"/>
      <c r="T108" s="163"/>
      <c r="U108" s="167">
        <f t="shared" si="103"/>
        <v>0</v>
      </c>
      <c r="W108" s="148"/>
    </row>
    <row r="109" spans="1:23" ht="22.5" customHeight="1">
      <c r="A109" s="160">
        <v>45143</v>
      </c>
      <c r="B109" s="161" t="s">
        <v>146</v>
      </c>
      <c r="C109" s="162">
        <f t="shared" si="3"/>
        <v>0</v>
      </c>
      <c r="D109" s="162">
        <f t="shared" ref="D109:E109" si="115">N109+Q109+T109</f>
        <v>0</v>
      </c>
      <c r="E109" s="163">
        <f t="shared" si="115"/>
        <v>0</v>
      </c>
      <c r="F109" s="164">
        <f t="shared" si="5"/>
        <v>0</v>
      </c>
      <c r="G109" s="163"/>
      <c r="H109" s="163"/>
      <c r="I109" s="165"/>
      <c r="J109" s="163"/>
      <c r="K109" s="163"/>
      <c r="L109" s="163"/>
      <c r="M109" s="163">
        <f t="shared" si="100"/>
        <v>0</v>
      </c>
      <c r="N109" s="163"/>
      <c r="O109" s="166">
        <f t="shared" si="101"/>
        <v>0</v>
      </c>
      <c r="P109" s="163"/>
      <c r="Q109" s="163"/>
      <c r="R109" s="166">
        <f t="shared" si="102"/>
        <v>0</v>
      </c>
      <c r="S109" s="163"/>
      <c r="T109" s="163"/>
      <c r="U109" s="167">
        <f t="shared" si="103"/>
        <v>0</v>
      </c>
      <c r="W109" s="148"/>
    </row>
    <row r="110" spans="1:23" ht="22.5" customHeight="1">
      <c r="A110" s="160">
        <v>45144</v>
      </c>
      <c r="B110" s="161" t="s">
        <v>147</v>
      </c>
      <c r="C110" s="162">
        <f t="shared" si="3"/>
        <v>0</v>
      </c>
      <c r="D110" s="162">
        <f t="shared" ref="D110:E110" si="116">N110+Q110+T110</f>
        <v>0</v>
      </c>
      <c r="E110" s="163">
        <f t="shared" si="116"/>
        <v>0</v>
      </c>
      <c r="F110" s="164">
        <f t="shared" si="5"/>
        <v>0</v>
      </c>
      <c r="G110" s="163"/>
      <c r="H110" s="163"/>
      <c r="I110" s="165"/>
      <c r="J110" s="163"/>
      <c r="K110" s="163"/>
      <c r="L110" s="163"/>
      <c r="M110" s="163">
        <f t="shared" si="100"/>
        <v>0</v>
      </c>
      <c r="N110" s="163"/>
      <c r="O110" s="166">
        <f t="shared" si="101"/>
        <v>0</v>
      </c>
      <c r="P110" s="163"/>
      <c r="Q110" s="163"/>
      <c r="R110" s="166">
        <f t="shared" si="102"/>
        <v>0</v>
      </c>
      <c r="S110" s="163"/>
      <c r="T110" s="163"/>
      <c r="U110" s="167">
        <f t="shared" si="103"/>
        <v>0</v>
      </c>
      <c r="W110" s="148"/>
    </row>
    <row r="111" spans="1:23" ht="22.5" customHeight="1">
      <c r="A111" s="160">
        <v>45145</v>
      </c>
      <c r="B111" s="161" t="s">
        <v>148</v>
      </c>
      <c r="C111" s="162">
        <f t="shared" si="3"/>
        <v>0</v>
      </c>
      <c r="D111" s="162">
        <f t="shared" ref="D111:E111" si="117">N111+Q111+T111</f>
        <v>0</v>
      </c>
      <c r="E111" s="163">
        <f t="shared" si="117"/>
        <v>0</v>
      </c>
      <c r="F111" s="164">
        <f t="shared" si="5"/>
        <v>0</v>
      </c>
      <c r="G111" s="163"/>
      <c r="H111" s="163"/>
      <c r="I111" s="165"/>
      <c r="J111" s="163"/>
      <c r="K111" s="163"/>
      <c r="L111" s="163"/>
      <c r="M111" s="163">
        <f t="shared" si="100"/>
        <v>0</v>
      </c>
      <c r="N111" s="163"/>
      <c r="O111" s="166">
        <f t="shared" si="101"/>
        <v>0</v>
      </c>
      <c r="P111" s="163"/>
      <c r="Q111" s="163"/>
      <c r="R111" s="166">
        <f t="shared" si="102"/>
        <v>0</v>
      </c>
      <c r="S111" s="163"/>
      <c r="T111" s="163"/>
      <c r="U111" s="167">
        <f t="shared" si="103"/>
        <v>0</v>
      </c>
      <c r="W111" s="148"/>
    </row>
    <row r="112" spans="1:23" ht="22.5" customHeight="1">
      <c r="A112" s="160">
        <v>45146</v>
      </c>
      <c r="B112" s="161" t="s">
        <v>142</v>
      </c>
      <c r="C112" s="162">
        <f t="shared" si="3"/>
        <v>0</v>
      </c>
      <c r="D112" s="162">
        <f t="shared" ref="D112:E112" si="118">N112+Q112+T112</f>
        <v>0</v>
      </c>
      <c r="E112" s="163">
        <f t="shared" si="118"/>
        <v>0</v>
      </c>
      <c r="F112" s="164">
        <f t="shared" si="5"/>
        <v>0</v>
      </c>
      <c r="G112" s="170"/>
      <c r="H112" s="170"/>
      <c r="I112" s="171"/>
      <c r="J112" s="183"/>
      <c r="K112" s="183"/>
      <c r="L112" s="183"/>
      <c r="M112" s="163">
        <f t="shared" si="100"/>
        <v>0</v>
      </c>
      <c r="N112" s="170"/>
      <c r="O112" s="166">
        <f t="shared" si="101"/>
        <v>0</v>
      </c>
      <c r="P112" s="183"/>
      <c r="Q112" s="170"/>
      <c r="R112" s="166">
        <f t="shared" si="102"/>
        <v>0</v>
      </c>
      <c r="S112" s="163"/>
      <c r="T112" s="170"/>
      <c r="U112" s="167">
        <f t="shared" si="103"/>
        <v>0</v>
      </c>
      <c r="W112" s="148"/>
    </row>
    <row r="113" spans="1:23" ht="22.5" customHeight="1">
      <c r="A113" s="160">
        <v>45147</v>
      </c>
      <c r="B113" s="161" t="s">
        <v>143</v>
      </c>
      <c r="C113" s="162">
        <f t="shared" si="3"/>
        <v>0</v>
      </c>
      <c r="D113" s="162">
        <f t="shared" ref="D113:E113" si="119">N113+Q113+T113</f>
        <v>0</v>
      </c>
      <c r="E113" s="163">
        <f t="shared" si="119"/>
        <v>0</v>
      </c>
      <c r="F113" s="164">
        <f t="shared" si="5"/>
        <v>0</v>
      </c>
      <c r="G113" s="170"/>
      <c r="H113" s="170"/>
      <c r="I113" s="171"/>
      <c r="J113" s="183"/>
      <c r="K113" s="183"/>
      <c r="L113" s="183"/>
      <c r="M113" s="163">
        <f t="shared" si="100"/>
        <v>0</v>
      </c>
      <c r="N113" s="170"/>
      <c r="O113" s="166">
        <f t="shared" si="101"/>
        <v>0</v>
      </c>
      <c r="P113" s="183"/>
      <c r="Q113" s="170"/>
      <c r="R113" s="166">
        <f t="shared" si="102"/>
        <v>0</v>
      </c>
      <c r="S113" s="163"/>
      <c r="T113" s="170"/>
      <c r="U113" s="167">
        <f t="shared" si="103"/>
        <v>0</v>
      </c>
      <c r="W113" s="148"/>
    </row>
    <row r="114" spans="1:23" ht="22.5" customHeight="1">
      <c r="A114" s="160">
        <v>45148</v>
      </c>
      <c r="B114" s="161" t="s">
        <v>144</v>
      </c>
      <c r="C114" s="162">
        <f t="shared" si="3"/>
        <v>0</v>
      </c>
      <c r="D114" s="162">
        <f t="shared" ref="D114:E114" si="120">N114+Q114+T114</f>
        <v>0</v>
      </c>
      <c r="E114" s="163">
        <f t="shared" si="120"/>
        <v>0</v>
      </c>
      <c r="F114" s="164">
        <f t="shared" si="5"/>
        <v>0</v>
      </c>
      <c r="G114" s="170"/>
      <c r="H114" s="170"/>
      <c r="I114" s="171"/>
      <c r="J114" s="183"/>
      <c r="K114" s="183"/>
      <c r="L114" s="183"/>
      <c r="M114" s="163">
        <f t="shared" si="100"/>
        <v>0</v>
      </c>
      <c r="N114" s="170"/>
      <c r="O114" s="166">
        <f t="shared" si="101"/>
        <v>0</v>
      </c>
      <c r="P114" s="183"/>
      <c r="Q114" s="170"/>
      <c r="R114" s="166">
        <f t="shared" si="102"/>
        <v>0</v>
      </c>
      <c r="S114" s="163"/>
      <c r="T114" s="170"/>
      <c r="U114" s="167">
        <f t="shared" si="103"/>
        <v>0</v>
      </c>
      <c r="W114" s="148"/>
    </row>
    <row r="115" spans="1:23" ht="22.5" customHeight="1">
      <c r="A115" s="160">
        <v>45149</v>
      </c>
      <c r="B115" s="161" t="s">
        <v>145</v>
      </c>
      <c r="C115" s="162">
        <f t="shared" si="3"/>
        <v>0</v>
      </c>
      <c r="D115" s="162">
        <f t="shared" ref="D115:E115" si="121">N115+Q115+T115</f>
        <v>0</v>
      </c>
      <c r="E115" s="163">
        <f t="shared" si="121"/>
        <v>0</v>
      </c>
      <c r="F115" s="164">
        <f t="shared" si="5"/>
        <v>0</v>
      </c>
      <c r="G115" s="170"/>
      <c r="H115" s="170"/>
      <c r="I115" s="171"/>
      <c r="J115" s="183"/>
      <c r="K115" s="183"/>
      <c r="L115" s="183"/>
      <c r="M115" s="163">
        <f t="shared" si="100"/>
        <v>0</v>
      </c>
      <c r="N115" s="170"/>
      <c r="O115" s="166">
        <f t="shared" si="101"/>
        <v>0</v>
      </c>
      <c r="P115" s="183"/>
      <c r="Q115" s="170"/>
      <c r="R115" s="166">
        <f t="shared" si="102"/>
        <v>0</v>
      </c>
      <c r="S115" s="163"/>
      <c r="T115" s="170"/>
      <c r="U115" s="167">
        <f t="shared" si="103"/>
        <v>0</v>
      </c>
      <c r="W115" s="148"/>
    </row>
    <row r="116" spans="1:23" ht="22.5" customHeight="1">
      <c r="A116" s="160">
        <v>45150</v>
      </c>
      <c r="B116" s="161" t="s">
        <v>146</v>
      </c>
      <c r="C116" s="162">
        <f t="shared" si="3"/>
        <v>0</v>
      </c>
      <c r="D116" s="162">
        <f t="shared" ref="D116:E116" si="122">N116+Q116+T116</f>
        <v>0</v>
      </c>
      <c r="E116" s="163">
        <f t="shared" si="122"/>
        <v>0</v>
      </c>
      <c r="F116" s="164">
        <f t="shared" si="5"/>
        <v>0</v>
      </c>
      <c r="G116" s="163"/>
      <c r="H116" s="163"/>
      <c r="I116" s="165"/>
      <c r="J116" s="163"/>
      <c r="K116" s="163"/>
      <c r="L116" s="163"/>
      <c r="M116" s="163">
        <f t="shared" si="100"/>
        <v>0</v>
      </c>
      <c r="N116" s="163"/>
      <c r="O116" s="166">
        <f t="shared" si="101"/>
        <v>0</v>
      </c>
      <c r="P116" s="163"/>
      <c r="Q116" s="163"/>
      <c r="R116" s="166">
        <f t="shared" si="102"/>
        <v>0</v>
      </c>
      <c r="S116" s="163"/>
      <c r="T116" s="163"/>
      <c r="U116" s="167">
        <f t="shared" si="103"/>
        <v>0</v>
      </c>
      <c r="W116" s="148"/>
    </row>
    <row r="117" spans="1:23" ht="22.5" customHeight="1">
      <c r="A117" s="160">
        <v>45151</v>
      </c>
      <c r="B117" s="161" t="s">
        <v>147</v>
      </c>
      <c r="C117" s="162">
        <f t="shared" si="3"/>
        <v>0</v>
      </c>
      <c r="D117" s="162">
        <f t="shared" ref="D117:E117" si="123">N117+Q117+T117</f>
        <v>0</v>
      </c>
      <c r="E117" s="163">
        <f t="shared" si="123"/>
        <v>0</v>
      </c>
      <c r="F117" s="164">
        <f t="shared" si="5"/>
        <v>0</v>
      </c>
      <c r="G117" s="163"/>
      <c r="H117" s="163"/>
      <c r="I117" s="165"/>
      <c r="J117" s="163"/>
      <c r="K117" s="163"/>
      <c r="L117" s="163"/>
      <c r="M117" s="163">
        <f t="shared" si="100"/>
        <v>0</v>
      </c>
      <c r="N117" s="163"/>
      <c r="O117" s="166">
        <f t="shared" si="101"/>
        <v>0</v>
      </c>
      <c r="P117" s="163"/>
      <c r="Q117" s="163"/>
      <c r="R117" s="166">
        <f t="shared" si="102"/>
        <v>0</v>
      </c>
      <c r="S117" s="163"/>
      <c r="T117" s="163"/>
      <c r="U117" s="167">
        <f t="shared" si="103"/>
        <v>0</v>
      </c>
      <c r="W117" s="148"/>
    </row>
    <row r="118" spans="1:23" ht="22.5" customHeight="1">
      <c r="A118" s="160">
        <v>45152</v>
      </c>
      <c r="B118" s="161" t="s">
        <v>148</v>
      </c>
      <c r="C118" s="162">
        <f t="shared" si="3"/>
        <v>0</v>
      </c>
      <c r="D118" s="162">
        <f t="shared" ref="D118:E118" si="124">N118+Q118+T118</f>
        <v>0</v>
      </c>
      <c r="E118" s="163">
        <f t="shared" si="124"/>
        <v>0</v>
      </c>
      <c r="F118" s="164">
        <f t="shared" si="5"/>
        <v>0</v>
      </c>
      <c r="G118" s="163"/>
      <c r="H118" s="163"/>
      <c r="I118" s="165"/>
      <c r="J118" s="163"/>
      <c r="K118" s="163"/>
      <c r="L118" s="163"/>
      <c r="M118" s="163">
        <f t="shared" si="100"/>
        <v>0</v>
      </c>
      <c r="N118" s="163"/>
      <c r="O118" s="166">
        <f t="shared" si="101"/>
        <v>0</v>
      </c>
      <c r="P118" s="163"/>
      <c r="Q118" s="163"/>
      <c r="R118" s="166">
        <f t="shared" si="102"/>
        <v>0</v>
      </c>
      <c r="S118" s="163"/>
      <c r="T118" s="163"/>
      <c r="U118" s="167">
        <f t="shared" si="103"/>
        <v>0</v>
      </c>
      <c r="W118" s="148"/>
    </row>
    <row r="119" spans="1:23" ht="22.5" customHeight="1">
      <c r="A119" s="160">
        <v>45153</v>
      </c>
      <c r="B119" s="161" t="s">
        <v>142</v>
      </c>
      <c r="C119" s="162">
        <f t="shared" si="3"/>
        <v>0</v>
      </c>
      <c r="D119" s="162">
        <f t="shared" ref="D119:E119" si="125">N119+Q119+T119</f>
        <v>0</v>
      </c>
      <c r="E119" s="163">
        <f t="shared" si="125"/>
        <v>0</v>
      </c>
      <c r="F119" s="164">
        <f t="shared" si="5"/>
        <v>0</v>
      </c>
      <c r="G119" s="163"/>
      <c r="H119" s="163"/>
      <c r="I119" s="165"/>
      <c r="J119" s="163"/>
      <c r="K119" s="163"/>
      <c r="L119" s="163"/>
      <c r="M119" s="163">
        <f t="shared" si="100"/>
        <v>0</v>
      </c>
      <c r="N119" s="163"/>
      <c r="O119" s="166">
        <f t="shared" si="101"/>
        <v>0</v>
      </c>
      <c r="P119" s="163"/>
      <c r="Q119" s="163"/>
      <c r="R119" s="166">
        <f t="shared" si="102"/>
        <v>0</v>
      </c>
      <c r="S119" s="163"/>
      <c r="T119" s="163"/>
      <c r="U119" s="167">
        <f t="shared" si="103"/>
        <v>0</v>
      </c>
      <c r="W119" s="148"/>
    </row>
    <row r="120" spans="1:23" ht="22.5" customHeight="1">
      <c r="A120" s="160">
        <v>45154</v>
      </c>
      <c r="B120" s="161" t="s">
        <v>143</v>
      </c>
      <c r="C120" s="162">
        <f t="shared" si="3"/>
        <v>0</v>
      </c>
      <c r="D120" s="162">
        <f t="shared" ref="D120:E120" si="126">N120+Q120+T120</f>
        <v>0</v>
      </c>
      <c r="E120" s="163">
        <f t="shared" si="126"/>
        <v>0</v>
      </c>
      <c r="F120" s="164">
        <f t="shared" si="5"/>
        <v>0</v>
      </c>
      <c r="G120" s="163"/>
      <c r="H120" s="163"/>
      <c r="I120" s="165"/>
      <c r="J120" s="163"/>
      <c r="K120" s="163"/>
      <c r="L120" s="163"/>
      <c r="M120" s="163">
        <f t="shared" si="100"/>
        <v>0</v>
      </c>
      <c r="N120" s="163"/>
      <c r="O120" s="166">
        <f t="shared" si="101"/>
        <v>0</v>
      </c>
      <c r="P120" s="163"/>
      <c r="Q120" s="163"/>
      <c r="R120" s="166">
        <f t="shared" si="102"/>
        <v>0</v>
      </c>
      <c r="S120" s="163"/>
      <c r="T120" s="163"/>
      <c r="U120" s="167">
        <f t="shared" si="103"/>
        <v>0</v>
      </c>
      <c r="W120" s="148"/>
    </row>
    <row r="121" spans="1:23" ht="22.5" customHeight="1">
      <c r="A121" s="160">
        <v>45155</v>
      </c>
      <c r="B121" s="161" t="s">
        <v>144</v>
      </c>
      <c r="C121" s="162">
        <f t="shared" si="3"/>
        <v>0</v>
      </c>
      <c r="D121" s="162">
        <f t="shared" ref="D121:E121" si="127">N121+Q121+T121</f>
        <v>0</v>
      </c>
      <c r="E121" s="163">
        <f t="shared" si="127"/>
        <v>0</v>
      </c>
      <c r="F121" s="164">
        <f t="shared" si="5"/>
        <v>0</v>
      </c>
      <c r="G121" s="163"/>
      <c r="H121" s="163"/>
      <c r="I121" s="165"/>
      <c r="J121" s="163"/>
      <c r="K121" s="163"/>
      <c r="L121" s="163"/>
      <c r="M121" s="163">
        <f t="shared" si="100"/>
        <v>0</v>
      </c>
      <c r="N121" s="163"/>
      <c r="O121" s="166">
        <f t="shared" si="101"/>
        <v>0</v>
      </c>
      <c r="P121" s="163"/>
      <c r="Q121" s="163"/>
      <c r="R121" s="166">
        <f t="shared" si="102"/>
        <v>0</v>
      </c>
      <c r="S121" s="163"/>
      <c r="T121" s="163"/>
      <c r="U121" s="167">
        <f t="shared" si="103"/>
        <v>0</v>
      </c>
      <c r="W121" s="148"/>
    </row>
    <row r="122" spans="1:23" ht="22.5" customHeight="1">
      <c r="A122" s="160">
        <v>45156</v>
      </c>
      <c r="B122" s="161" t="s">
        <v>145</v>
      </c>
      <c r="C122" s="162">
        <f t="shared" si="3"/>
        <v>0</v>
      </c>
      <c r="D122" s="162">
        <f t="shared" ref="D122:E122" si="128">N122+Q122+T122</f>
        <v>0</v>
      </c>
      <c r="E122" s="163">
        <f t="shared" si="128"/>
        <v>0</v>
      </c>
      <c r="F122" s="164">
        <f t="shared" si="5"/>
        <v>0</v>
      </c>
      <c r="G122" s="170"/>
      <c r="H122" s="163"/>
      <c r="I122" s="171"/>
      <c r="J122" s="170"/>
      <c r="K122" s="170"/>
      <c r="L122" s="170"/>
      <c r="M122" s="163">
        <f t="shared" si="100"/>
        <v>0</v>
      </c>
      <c r="N122" s="170"/>
      <c r="O122" s="166">
        <f t="shared" si="101"/>
        <v>0</v>
      </c>
      <c r="P122" s="170"/>
      <c r="Q122" s="170"/>
      <c r="R122" s="166">
        <f t="shared" si="102"/>
        <v>0</v>
      </c>
      <c r="S122" s="163"/>
      <c r="T122" s="163"/>
      <c r="U122" s="167">
        <f t="shared" si="103"/>
        <v>0</v>
      </c>
      <c r="W122" s="148"/>
    </row>
    <row r="123" spans="1:23" ht="22.5" customHeight="1">
      <c r="A123" s="160">
        <v>45157</v>
      </c>
      <c r="B123" s="161" t="s">
        <v>146</v>
      </c>
      <c r="C123" s="162">
        <f t="shared" si="3"/>
        <v>0</v>
      </c>
      <c r="D123" s="162">
        <f t="shared" ref="D123:E123" si="129">N123+Q123+T123</f>
        <v>0</v>
      </c>
      <c r="E123" s="163">
        <f t="shared" si="129"/>
        <v>0</v>
      </c>
      <c r="F123" s="164">
        <f t="shared" si="5"/>
        <v>0</v>
      </c>
      <c r="G123" s="163"/>
      <c r="H123" s="163"/>
      <c r="I123" s="165"/>
      <c r="J123" s="163"/>
      <c r="K123" s="163"/>
      <c r="L123" s="163"/>
      <c r="M123" s="163">
        <f t="shared" si="100"/>
        <v>0</v>
      </c>
      <c r="N123" s="163"/>
      <c r="O123" s="166">
        <f t="shared" si="101"/>
        <v>0</v>
      </c>
      <c r="P123" s="163"/>
      <c r="Q123" s="163"/>
      <c r="R123" s="166">
        <f t="shared" si="102"/>
        <v>0</v>
      </c>
      <c r="S123" s="163"/>
      <c r="T123" s="163"/>
      <c r="U123" s="167">
        <f t="shared" si="103"/>
        <v>0</v>
      </c>
      <c r="V123" s="174" t="s">
        <v>149</v>
      </c>
      <c r="W123" s="175">
        <f>PRESUPUESTO!P27</f>
        <v>71206.517602396038</v>
      </c>
    </row>
    <row r="124" spans="1:23" ht="22.5" customHeight="1">
      <c r="A124" s="160">
        <v>45158</v>
      </c>
      <c r="B124" s="161" t="s">
        <v>147</v>
      </c>
      <c r="C124" s="162">
        <f t="shared" si="3"/>
        <v>0</v>
      </c>
      <c r="D124" s="162">
        <f t="shared" ref="D124:E124" si="130">N124+Q124+T124</f>
        <v>0</v>
      </c>
      <c r="E124" s="163">
        <f t="shared" si="130"/>
        <v>0</v>
      </c>
      <c r="F124" s="164">
        <f t="shared" si="5"/>
        <v>0</v>
      </c>
      <c r="G124" s="163"/>
      <c r="H124" s="163"/>
      <c r="I124" s="165"/>
      <c r="J124" s="163"/>
      <c r="K124" s="163"/>
      <c r="L124" s="163"/>
      <c r="M124" s="163">
        <f t="shared" si="100"/>
        <v>0</v>
      </c>
      <c r="N124" s="163"/>
      <c r="O124" s="166">
        <f t="shared" si="101"/>
        <v>0</v>
      </c>
      <c r="P124" s="163"/>
      <c r="Q124" s="163"/>
      <c r="R124" s="166">
        <f t="shared" si="102"/>
        <v>0</v>
      </c>
      <c r="S124" s="163"/>
      <c r="T124" s="163"/>
      <c r="U124" s="167">
        <f t="shared" si="103"/>
        <v>0</v>
      </c>
      <c r="V124" s="174" t="s">
        <v>150</v>
      </c>
      <c r="W124" s="175">
        <f>SUBTOTAL(9,C98:C128)</f>
        <v>0</v>
      </c>
    </row>
    <row r="125" spans="1:23" ht="22.5" customHeight="1">
      <c r="A125" s="160">
        <v>45159</v>
      </c>
      <c r="B125" s="161" t="s">
        <v>148</v>
      </c>
      <c r="C125" s="162">
        <f t="shared" si="3"/>
        <v>0</v>
      </c>
      <c r="D125" s="162">
        <f t="shared" ref="D125:E125" si="131">N125+Q125+T125</f>
        <v>0</v>
      </c>
      <c r="E125" s="163">
        <f t="shared" si="131"/>
        <v>0</v>
      </c>
      <c r="F125" s="164">
        <f t="shared" si="5"/>
        <v>0</v>
      </c>
      <c r="G125" s="163"/>
      <c r="H125" s="163"/>
      <c r="I125" s="165"/>
      <c r="J125" s="163"/>
      <c r="K125" s="163"/>
      <c r="L125" s="163"/>
      <c r="M125" s="163">
        <f t="shared" si="100"/>
        <v>0</v>
      </c>
      <c r="N125" s="163"/>
      <c r="O125" s="166">
        <f t="shared" si="101"/>
        <v>0</v>
      </c>
      <c r="P125" s="163"/>
      <c r="Q125" s="163"/>
      <c r="R125" s="166">
        <f t="shared" si="102"/>
        <v>0</v>
      </c>
      <c r="S125" s="163"/>
      <c r="T125" s="163"/>
      <c r="U125" s="167">
        <f t="shared" si="103"/>
        <v>0</v>
      </c>
      <c r="V125" s="174" t="s">
        <v>151</v>
      </c>
      <c r="W125" s="175">
        <f>SUM(N98:N128)+SUM(Q98:Q128)+SUM(T98:T128)</f>
        <v>0</v>
      </c>
    </row>
    <row r="126" spans="1:23" ht="22.5" customHeight="1">
      <c r="A126" s="160">
        <v>45160</v>
      </c>
      <c r="B126" s="161" t="s">
        <v>142</v>
      </c>
      <c r="C126" s="162">
        <f t="shared" si="3"/>
        <v>0</v>
      </c>
      <c r="D126" s="162">
        <f t="shared" ref="D126:E126" si="132">N126+Q126+T126</f>
        <v>0</v>
      </c>
      <c r="E126" s="163">
        <f t="shared" si="132"/>
        <v>0</v>
      </c>
      <c r="F126" s="164">
        <f t="shared" si="5"/>
        <v>0</v>
      </c>
      <c r="G126" s="163"/>
      <c r="H126" s="163"/>
      <c r="I126" s="165"/>
      <c r="J126" s="163"/>
      <c r="K126" s="163"/>
      <c r="L126" s="163"/>
      <c r="M126" s="163">
        <f t="shared" si="100"/>
        <v>0</v>
      </c>
      <c r="N126" s="163"/>
      <c r="O126" s="166">
        <f t="shared" si="101"/>
        <v>0</v>
      </c>
      <c r="P126" s="163"/>
      <c r="Q126" s="163"/>
      <c r="R126" s="166">
        <f t="shared" si="102"/>
        <v>0</v>
      </c>
      <c r="S126" s="163"/>
      <c r="T126" s="163"/>
      <c r="U126" s="167">
        <f t="shared" si="103"/>
        <v>0</v>
      </c>
      <c r="V126" s="174" t="s">
        <v>152</v>
      </c>
      <c r="W126" s="175">
        <f>SUM(O98:O128)+SUM(R98:R128)+SUM(U98:U128)</f>
        <v>0</v>
      </c>
    </row>
    <row r="127" spans="1:23" ht="22.5" customHeight="1">
      <c r="A127" s="160">
        <v>45161</v>
      </c>
      <c r="B127" s="161" t="s">
        <v>143</v>
      </c>
      <c r="C127" s="162">
        <f t="shared" si="3"/>
        <v>0</v>
      </c>
      <c r="D127" s="162">
        <f t="shared" ref="D127:E127" si="133">N127+Q127+T127</f>
        <v>0</v>
      </c>
      <c r="E127" s="163">
        <f t="shared" si="133"/>
        <v>0</v>
      </c>
      <c r="F127" s="164">
        <f t="shared" si="5"/>
        <v>0</v>
      </c>
      <c r="G127" s="163"/>
      <c r="H127" s="163"/>
      <c r="I127" s="165"/>
      <c r="J127" s="163"/>
      <c r="K127" s="163"/>
      <c r="L127" s="163"/>
      <c r="M127" s="163">
        <f t="shared" si="100"/>
        <v>0</v>
      </c>
      <c r="N127" s="163"/>
      <c r="O127" s="166">
        <f t="shared" si="101"/>
        <v>0</v>
      </c>
      <c r="P127" s="163"/>
      <c r="Q127" s="163"/>
      <c r="R127" s="166">
        <f t="shared" si="102"/>
        <v>0</v>
      </c>
      <c r="S127" s="163"/>
      <c r="T127" s="163"/>
      <c r="U127" s="167">
        <f t="shared" si="103"/>
        <v>0</v>
      </c>
      <c r="V127" s="176" t="s">
        <v>153</v>
      </c>
      <c r="W127" s="175" t="e">
        <f>W124/COUNTIF(C98:C128,"&lt;&gt;0")</f>
        <v>#DIV/0!</v>
      </c>
    </row>
    <row r="128" spans="1:23" ht="22.5" customHeight="1">
      <c r="A128" s="160">
        <v>45162</v>
      </c>
      <c r="B128" s="161" t="s">
        <v>144</v>
      </c>
      <c r="C128" s="178">
        <f t="shared" si="3"/>
        <v>0</v>
      </c>
      <c r="D128" s="178">
        <f t="shared" ref="D128:E128" si="134">N128+Q128+T128</f>
        <v>0</v>
      </c>
      <c r="E128" s="179">
        <f t="shared" si="134"/>
        <v>0</v>
      </c>
      <c r="F128" s="164">
        <f t="shared" si="5"/>
        <v>0</v>
      </c>
      <c r="G128" s="190"/>
      <c r="H128" s="190"/>
      <c r="I128" s="185"/>
      <c r="J128" s="184"/>
      <c r="K128" s="184"/>
      <c r="L128" s="184"/>
      <c r="M128" s="180">
        <f t="shared" si="100"/>
        <v>0</v>
      </c>
      <c r="N128" s="184"/>
      <c r="O128" s="181">
        <f t="shared" si="101"/>
        <v>0</v>
      </c>
      <c r="P128" s="184"/>
      <c r="Q128" s="184"/>
      <c r="R128" s="181">
        <f t="shared" si="102"/>
        <v>0</v>
      </c>
      <c r="S128" s="184"/>
      <c r="T128" s="184"/>
      <c r="U128" s="182">
        <f t="shared" si="103"/>
        <v>0</v>
      </c>
      <c r="V128" s="176" t="s">
        <v>154</v>
      </c>
      <c r="W128" s="175">
        <f>W124/26</f>
        <v>0</v>
      </c>
    </row>
    <row r="129" spans="1:23" ht="22.5" customHeight="1">
      <c r="A129" s="160">
        <v>45163</v>
      </c>
      <c r="B129" s="161" t="s">
        <v>145</v>
      </c>
      <c r="C129" s="162">
        <f t="shared" si="3"/>
        <v>0</v>
      </c>
      <c r="D129" s="162">
        <f t="shared" ref="D129:E129" si="135">N129+Q129+T129</f>
        <v>0</v>
      </c>
      <c r="E129" s="163">
        <f t="shared" si="135"/>
        <v>0</v>
      </c>
      <c r="F129" s="164">
        <f t="shared" si="5"/>
        <v>0</v>
      </c>
      <c r="G129" s="163"/>
      <c r="H129" s="163"/>
      <c r="I129" s="165"/>
      <c r="J129" s="163"/>
      <c r="K129" s="163"/>
      <c r="L129" s="163"/>
      <c r="M129" s="163">
        <f t="shared" si="100"/>
        <v>0</v>
      </c>
      <c r="N129" s="163"/>
      <c r="O129" s="166">
        <f t="shared" si="101"/>
        <v>0</v>
      </c>
      <c r="P129" s="163"/>
      <c r="Q129" s="163"/>
      <c r="R129" s="166">
        <f t="shared" si="102"/>
        <v>0</v>
      </c>
      <c r="S129" s="163"/>
      <c r="T129" s="163"/>
      <c r="U129" s="167">
        <f t="shared" si="103"/>
        <v>0</v>
      </c>
      <c r="W129" s="148"/>
    </row>
    <row r="130" spans="1:23" ht="22.5" customHeight="1">
      <c r="A130" s="160">
        <v>45164</v>
      </c>
      <c r="B130" s="161" t="s">
        <v>146</v>
      </c>
      <c r="C130" s="162">
        <f t="shared" si="3"/>
        <v>0</v>
      </c>
      <c r="D130" s="162">
        <f t="shared" ref="D130:E130" si="136">N130+Q130+T130</f>
        <v>0</v>
      </c>
      <c r="E130" s="163">
        <f t="shared" si="136"/>
        <v>0</v>
      </c>
      <c r="F130" s="164">
        <f t="shared" si="5"/>
        <v>0</v>
      </c>
      <c r="G130" s="163"/>
      <c r="H130" s="163"/>
      <c r="I130" s="165"/>
      <c r="J130" s="163"/>
      <c r="K130" s="163"/>
      <c r="L130" s="163"/>
      <c r="M130" s="163">
        <f t="shared" si="100"/>
        <v>0</v>
      </c>
      <c r="N130" s="163"/>
      <c r="O130" s="166">
        <f t="shared" si="101"/>
        <v>0</v>
      </c>
      <c r="P130" s="163"/>
      <c r="Q130" s="163"/>
      <c r="R130" s="166">
        <f t="shared" si="102"/>
        <v>0</v>
      </c>
      <c r="S130" s="163"/>
      <c r="T130" s="163"/>
      <c r="U130" s="167">
        <f t="shared" si="103"/>
        <v>0</v>
      </c>
      <c r="W130" s="148"/>
    </row>
    <row r="131" spans="1:23" ht="22.5" customHeight="1">
      <c r="A131" s="160">
        <v>45165</v>
      </c>
      <c r="B131" s="161" t="s">
        <v>147</v>
      </c>
      <c r="C131" s="162">
        <f t="shared" si="3"/>
        <v>0</v>
      </c>
      <c r="D131" s="162">
        <f t="shared" ref="D131:E131" si="137">N131+Q131+T131</f>
        <v>0</v>
      </c>
      <c r="E131" s="163">
        <f t="shared" si="137"/>
        <v>0</v>
      </c>
      <c r="F131" s="164">
        <f t="shared" si="5"/>
        <v>0</v>
      </c>
      <c r="G131" s="163"/>
      <c r="H131" s="163"/>
      <c r="I131" s="165"/>
      <c r="J131" s="163"/>
      <c r="K131" s="163"/>
      <c r="L131" s="163"/>
      <c r="M131" s="163">
        <f t="shared" si="100"/>
        <v>0</v>
      </c>
      <c r="N131" s="163"/>
      <c r="O131" s="166">
        <f t="shared" si="101"/>
        <v>0</v>
      </c>
      <c r="P131" s="163"/>
      <c r="Q131" s="163"/>
      <c r="R131" s="166">
        <f t="shared" si="102"/>
        <v>0</v>
      </c>
      <c r="S131" s="163"/>
      <c r="T131" s="163"/>
      <c r="U131" s="167">
        <f t="shared" si="103"/>
        <v>0</v>
      </c>
      <c r="W131" s="148"/>
    </row>
    <row r="132" spans="1:23" ht="22.5" customHeight="1">
      <c r="A132" s="160">
        <v>45166</v>
      </c>
      <c r="B132" s="161" t="s">
        <v>148</v>
      </c>
      <c r="C132" s="162">
        <f t="shared" si="3"/>
        <v>0</v>
      </c>
      <c r="D132" s="162">
        <f t="shared" ref="D132:E132" si="138">N132+Q132+T132</f>
        <v>0</v>
      </c>
      <c r="E132" s="163">
        <f t="shared" si="138"/>
        <v>0</v>
      </c>
      <c r="F132" s="164">
        <f t="shared" si="5"/>
        <v>0</v>
      </c>
      <c r="G132" s="163"/>
      <c r="H132" s="163"/>
      <c r="I132" s="165"/>
      <c r="J132" s="163"/>
      <c r="K132" s="163"/>
      <c r="L132" s="163"/>
      <c r="M132" s="163">
        <f t="shared" si="100"/>
        <v>0</v>
      </c>
      <c r="N132" s="163"/>
      <c r="O132" s="166">
        <f t="shared" si="101"/>
        <v>0</v>
      </c>
      <c r="P132" s="163"/>
      <c r="Q132" s="163"/>
      <c r="R132" s="166">
        <f t="shared" si="102"/>
        <v>0</v>
      </c>
      <c r="S132" s="163"/>
      <c r="T132" s="163"/>
      <c r="U132" s="167">
        <f t="shared" si="103"/>
        <v>0</v>
      </c>
      <c r="W132" s="148"/>
    </row>
    <row r="133" spans="1:23" ht="22.5" customHeight="1">
      <c r="A133" s="160">
        <v>45167</v>
      </c>
      <c r="B133" s="161" t="s">
        <v>142</v>
      </c>
      <c r="C133" s="162">
        <f t="shared" si="3"/>
        <v>0</v>
      </c>
      <c r="D133" s="162">
        <f t="shared" ref="D133:E133" si="139">N133+Q133+T133</f>
        <v>0</v>
      </c>
      <c r="E133" s="163">
        <f t="shared" si="139"/>
        <v>0</v>
      </c>
      <c r="F133" s="164">
        <f t="shared" si="5"/>
        <v>0</v>
      </c>
      <c r="G133" s="163"/>
      <c r="H133" s="163"/>
      <c r="I133" s="165"/>
      <c r="J133" s="163"/>
      <c r="K133" s="163"/>
      <c r="L133" s="163"/>
      <c r="M133" s="163">
        <f t="shared" si="100"/>
        <v>0</v>
      </c>
      <c r="N133" s="163"/>
      <c r="O133" s="166">
        <f t="shared" si="101"/>
        <v>0</v>
      </c>
      <c r="P133" s="163"/>
      <c r="Q133" s="163"/>
      <c r="R133" s="166">
        <f t="shared" si="102"/>
        <v>0</v>
      </c>
      <c r="S133" s="163"/>
      <c r="T133" s="163"/>
      <c r="U133" s="167">
        <f t="shared" si="103"/>
        <v>0</v>
      </c>
    </row>
    <row r="134" spans="1:23" ht="22.5" customHeight="1">
      <c r="A134" s="160">
        <v>45168</v>
      </c>
      <c r="B134" s="161" t="s">
        <v>143</v>
      </c>
      <c r="C134" s="162">
        <f t="shared" si="3"/>
        <v>0</v>
      </c>
      <c r="D134" s="162">
        <f t="shared" ref="D134:E134" si="140">N134+Q134+T134</f>
        <v>0</v>
      </c>
      <c r="E134" s="163">
        <f t="shared" si="140"/>
        <v>0</v>
      </c>
      <c r="F134" s="164">
        <f t="shared" si="5"/>
        <v>0</v>
      </c>
      <c r="G134" s="163"/>
      <c r="H134" s="163"/>
      <c r="I134" s="165"/>
      <c r="J134" s="163"/>
      <c r="K134" s="163"/>
      <c r="L134" s="163"/>
      <c r="M134" s="163">
        <f t="shared" si="100"/>
        <v>0</v>
      </c>
      <c r="N134" s="163"/>
      <c r="O134" s="166">
        <f t="shared" si="101"/>
        <v>0</v>
      </c>
      <c r="P134" s="163"/>
      <c r="Q134" s="163"/>
      <c r="R134" s="166">
        <f t="shared" si="102"/>
        <v>0</v>
      </c>
      <c r="S134" s="163"/>
      <c r="T134" s="163"/>
      <c r="U134" s="167">
        <f t="shared" si="103"/>
        <v>0</v>
      </c>
    </row>
    <row r="135" spans="1:23" ht="22.5" customHeight="1">
      <c r="A135" s="160">
        <v>45169</v>
      </c>
      <c r="B135" s="161" t="s">
        <v>144</v>
      </c>
      <c r="C135" s="162">
        <f t="shared" si="3"/>
        <v>0</v>
      </c>
      <c r="D135" s="162">
        <f t="shared" ref="D135:E135" si="141">N135+Q135+T135</f>
        <v>0</v>
      </c>
      <c r="E135" s="163">
        <f t="shared" si="141"/>
        <v>0</v>
      </c>
      <c r="F135" s="164">
        <f t="shared" si="5"/>
        <v>0</v>
      </c>
      <c r="G135" s="163"/>
      <c r="H135" s="166"/>
      <c r="I135" s="163"/>
      <c r="J135" s="163"/>
      <c r="K135" s="163"/>
      <c r="L135" s="163"/>
      <c r="M135" s="163">
        <f t="shared" si="100"/>
        <v>0</v>
      </c>
      <c r="N135" s="163"/>
      <c r="O135" s="166">
        <f t="shared" si="101"/>
        <v>0</v>
      </c>
      <c r="P135" s="163"/>
      <c r="Q135" s="163"/>
      <c r="R135" s="166">
        <f t="shared" si="102"/>
        <v>0</v>
      </c>
      <c r="S135" s="163"/>
      <c r="T135" s="163"/>
      <c r="U135" s="167">
        <f t="shared" si="103"/>
        <v>0</v>
      </c>
    </row>
    <row r="136" spans="1:23" ht="22.5" customHeight="1">
      <c r="A136" s="160">
        <v>45170</v>
      </c>
      <c r="B136" s="161" t="s">
        <v>145</v>
      </c>
      <c r="C136" s="162">
        <f t="shared" si="3"/>
        <v>0</v>
      </c>
      <c r="D136" s="162">
        <f t="shared" ref="D136:E136" si="142">N136+Q136+T136</f>
        <v>0</v>
      </c>
      <c r="E136" s="163">
        <f t="shared" si="142"/>
        <v>0</v>
      </c>
      <c r="F136" s="164">
        <f t="shared" si="5"/>
        <v>0</v>
      </c>
      <c r="G136" s="163"/>
      <c r="H136" s="163"/>
      <c r="I136" s="165"/>
      <c r="J136" s="163"/>
      <c r="K136" s="163"/>
      <c r="L136" s="163"/>
      <c r="M136" s="163">
        <f t="shared" si="100"/>
        <v>0</v>
      </c>
      <c r="N136" s="163"/>
      <c r="O136" s="166">
        <f t="shared" si="101"/>
        <v>0</v>
      </c>
      <c r="P136" s="163"/>
      <c r="Q136" s="163"/>
      <c r="R136" s="166">
        <f t="shared" si="102"/>
        <v>0</v>
      </c>
      <c r="S136" s="163"/>
      <c r="T136" s="163"/>
      <c r="U136" s="167">
        <f t="shared" si="103"/>
        <v>0</v>
      </c>
      <c r="W136" s="148"/>
    </row>
    <row r="137" spans="1:23" ht="22.5" customHeight="1">
      <c r="A137" s="160">
        <v>45171</v>
      </c>
      <c r="B137" s="161" t="s">
        <v>146</v>
      </c>
      <c r="C137" s="162">
        <f t="shared" si="3"/>
        <v>0</v>
      </c>
      <c r="D137" s="162">
        <f t="shared" ref="D137:E137" si="143">N137+Q137+T137</f>
        <v>0</v>
      </c>
      <c r="E137" s="163">
        <f t="shared" si="143"/>
        <v>0</v>
      </c>
      <c r="F137" s="164">
        <f t="shared" si="5"/>
        <v>0</v>
      </c>
      <c r="G137" s="163"/>
      <c r="H137" s="163"/>
      <c r="I137" s="165"/>
      <c r="J137" s="163"/>
      <c r="K137" s="163"/>
      <c r="L137" s="163"/>
      <c r="M137" s="163">
        <f t="shared" si="100"/>
        <v>0</v>
      </c>
      <c r="N137" s="163"/>
      <c r="O137" s="166">
        <f t="shared" si="101"/>
        <v>0</v>
      </c>
      <c r="P137" s="163"/>
      <c r="Q137" s="163"/>
      <c r="R137" s="166">
        <f t="shared" si="102"/>
        <v>0</v>
      </c>
      <c r="S137" s="163"/>
      <c r="T137" s="163"/>
      <c r="U137" s="167">
        <f t="shared" si="103"/>
        <v>0</v>
      </c>
      <c r="W137" s="148"/>
    </row>
    <row r="138" spans="1:23" ht="22.5" customHeight="1">
      <c r="A138" s="160">
        <v>45172</v>
      </c>
      <c r="B138" s="161" t="s">
        <v>147</v>
      </c>
      <c r="C138" s="162">
        <f t="shared" si="3"/>
        <v>0</v>
      </c>
      <c r="D138" s="162">
        <f t="shared" ref="D138:E138" si="144">N138+Q138+T138</f>
        <v>0</v>
      </c>
      <c r="E138" s="163">
        <f t="shared" si="144"/>
        <v>0</v>
      </c>
      <c r="F138" s="164">
        <f t="shared" si="5"/>
        <v>0</v>
      </c>
      <c r="G138" s="163"/>
      <c r="H138" s="163"/>
      <c r="I138" s="165"/>
      <c r="J138" s="163"/>
      <c r="K138" s="163"/>
      <c r="L138" s="163"/>
      <c r="M138" s="163">
        <f t="shared" si="100"/>
        <v>0</v>
      </c>
      <c r="N138" s="163"/>
      <c r="O138" s="166">
        <f t="shared" si="101"/>
        <v>0</v>
      </c>
      <c r="P138" s="163"/>
      <c r="Q138" s="163"/>
      <c r="R138" s="166">
        <f t="shared" si="102"/>
        <v>0</v>
      </c>
      <c r="S138" s="163"/>
      <c r="T138" s="163"/>
      <c r="U138" s="167">
        <f t="shared" si="103"/>
        <v>0</v>
      </c>
      <c r="W138" s="148"/>
    </row>
    <row r="139" spans="1:23" ht="22.5" customHeight="1">
      <c r="A139" s="160">
        <v>45173</v>
      </c>
      <c r="B139" s="161" t="s">
        <v>148</v>
      </c>
      <c r="C139" s="162">
        <f t="shared" si="3"/>
        <v>0</v>
      </c>
      <c r="D139" s="162">
        <f t="shared" ref="D139:E139" si="145">N139+Q139+T139</f>
        <v>0</v>
      </c>
      <c r="E139" s="163">
        <f t="shared" si="145"/>
        <v>0</v>
      </c>
      <c r="F139" s="164">
        <f t="shared" si="5"/>
        <v>0</v>
      </c>
      <c r="G139" s="163"/>
      <c r="H139" s="163"/>
      <c r="I139" s="165"/>
      <c r="J139" s="163"/>
      <c r="K139" s="163"/>
      <c r="L139" s="163"/>
      <c r="M139" s="163">
        <f t="shared" si="100"/>
        <v>0</v>
      </c>
      <c r="N139" s="163"/>
      <c r="O139" s="166">
        <f t="shared" si="101"/>
        <v>0</v>
      </c>
      <c r="P139" s="163"/>
      <c r="Q139" s="163"/>
      <c r="R139" s="166">
        <f t="shared" si="102"/>
        <v>0</v>
      </c>
      <c r="S139" s="163"/>
      <c r="T139" s="163"/>
      <c r="U139" s="167">
        <f t="shared" si="103"/>
        <v>0</v>
      </c>
      <c r="W139" s="148"/>
    </row>
    <row r="140" spans="1:23" ht="22.5" customHeight="1">
      <c r="A140" s="160">
        <v>45174</v>
      </c>
      <c r="B140" s="161" t="s">
        <v>142</v>
      </c>
      <c r="C140" s="162">
        <f t="shared" si="3"/>
        <v>0</v>
      </c>
      <c r="D140" s="162">
        <f t="shared" ref="D140:E140" si="146">N140+Q140+T140</f>
        <v>0</v>
      </c>
      <c r="E140" s="163">
        <f t="shared" si="146"/>
        <v>0</v>
      </c>
      <c r="F140" s="164">
        <f t="shared" si="5"/>
        <v>0</v>
      </c>
      <c r="G140" s="163"/>
      <c r="H140" s="163"/>
      <c r="I140" s="165"/>
      <c r="J140" s="163"/>
      <c r="K140" s="163"/>
      <c r="L140" s="163"/>
      <c r="M140" s="163">
        <f t="shared" si="100"/>
        <v>0</v>
      </c>
      <c r="N140" s="163"/>
      <c r="O140" s="166">
        <f t="shared" si="101"/>
        <v>0</v>
      </c>
      <c r="P140" s="163"/>
      <c r="Q140" s="163"/>
      <c r="R140" s="166">
        <f t="shared" si="102"/>
        <v>0</v>
      </c>
      <c r="S140" s="163"/>
      <c r="T140" s="163"/>
      <c r="U140" s="167">
        <f t="shared" si="103"/>
        <v>0</v>
      </c>
      <c r="W140" s="148"/>
    </row>
    <row r="141" spans="1:23" ht="22.5" customHeight="1">
      <c r="A141" s="160">
        <v>45175</v>
      </c>
      <c r="B141" s="161" t="s">
        <v>143</v>
      </c>
      <c r="C141" s="162">
        <f t="shared" si="3"/>
        <v>0</v>
      </c>
      <c r="D141" s="162">
        <f t="shared" ref="D141:E141" si="147">N141+Q141+T141</f>
        <v>0</v>
      </c>
      <c r="E141" s="163">
        <f t="shared" si="147"/>
        <v>0</v>
      </c>
      <c r="F141" s="164">
        <f t="shared" si="5"/>
        <v>0</v>
      </c>
      <c r="G141" s="163"/>
      <c r="H141" s="163"/>
      <c r="I141" s="165"/>
      <c r="J141" s="163"/>
      <c r="K141" s="163"/>
      <c r="L141" s="163"/>
      <c r="M141" s="163">
        <f t="shared" si="100"/>
        <v>0</v>
      </c>
      <c r="N141" s="163"/>
      <c r="O141" s="166">
        <f t="shared" si="101"/>
        <v>0</v>
      </c>
      <c r="P141" s="163"/>
      <c r="Q141" s="163"/>
      <c r="R141" s="166">
        <f t="shared" si="102"/>
        <v>0</v>
      </c>
      <c r="S141" s="163"/>
      <c r="T141" s="163"/>
      <c r="U141" s="167">
        <f t="shared" si="103"/>
        <v>0</v>
      </c>
      <c r="W141" s="148"/>
    </row>
    <row r="142" spans="1:23" ht="22.5" customHeight="1">
      <c r="A142" s="160">
        <v>45176</v>
      </c>
      <c r="B142" s="161" t="s">
        <v>144</v>
      </c>
      <c r="C142" s="162">
        <f t="shared" si="3"/>
        <v>0</v>
      </c>
      <c r="D142" s="162">
        <f t="shared" ref="D142:E142" si="148">N142+Q142+T142</f>
        <v>0</v>
      </c>
      <c r="E142" s="163">
        <f t="shared" si="148"/>
        <v>0</v>
      </c>
      <c r="F142" s="164">
        <f t="shared" si="5"/>
        <v>0</v>
      </c>
      <c r="G142" s="163"/>
      <c r="H142" s="163"/>
      <c r="I142" s="165"/>
      <c r="J142" s="163"/>
      <c r="K142" s="163"/>
      <c r="L142" s="163"/>
      <c r="M142" s="163">
        <f t="shared" si="100"/>
        <v>0</v>
      </c>
      <c r="N142" s="163"/>
      <c r="O142" s="166">
        <f t="shared" si="101"/>
        <v>0</v>
      </c>
      <c r="P142" s="163"/>
      <c r="Q142" s="163"/>
      <c r="R142" s="166">
        <f t="shared" si="102"/>
        <v>0</v>
      </c>
      <c r="S142" s="163"/>
      <c r="T142" s="163"/>
      <c r="U142" s="167">
        <f t="shared" si="103"/>
        <v>0</v>
      </c>
      <c r="W142" s="148"/>
    </row>
    <row r="143" spans="1:23" ht="22.5" customHeight="1">
      <c r="A143" s="160">
        <v>45177</v>
      </c>
      <c r="B143" s="161" t="s">
        <v>145</v>
      </c>
      <c r="C143" s="162">
        <f t="shared" si="3"/>
        <v>0</v>
      </c>
      <c r="D143" s="162">
        <f t="shared" ref="D143:E143" si="149">N143+Q143+T143</f>
        <v>0</v>
      </c>
      <c r="E143" s="163">
        <f t="shared" si="149"/>
        <v>0</v>
      </c>
      <c r="F143" s="164">
        <f t="shared" si="5"/>
        <v>0</v>
      </c>
      <c r="G143" s="170"/>
      <c r="H143" s="170"/>
      <c r="I143" s="171"/>
      <c r="J143" s="183"/>
      <c r="K143" s="183"/>
      <c r="L143" s="183"/>
      <c r="M143" s="163">
        <f t="shared" si="100"/>
        <v>0</v>
      </c>
      <c r="N143" s="170"/>
      <c r="O143" s="166">
        <f t="shared" si="101"/>
        <v>0</v>
      </c>
      <c r="P143" s="183"/>
      <c r="Q143" s="170"/>
      <c r="R143" s="166">
        <f t="shared" si="102"/>
        <v>0</v>
      </c>
      <c r="S143" s="163"/>
      <c r="T143" s="170"/>
      <c r="U143" s="167">
        <f t="shared" si="103"/>
        <v>0</v>
      </c>
      <c r="W143" s="148"/>
    </row>
    <row r="144" spans="1:23" ht="22.5" customHeight="1">
      <c r="A144" s="160">
        <v>45178</v>
      </c>
      <c r="B144" s="161" t="s">
        <v>146</v>
      </c>
      <c r="C144" s="162">
        <f t="shared" si="3"/>
        <v>0</v>
      </c>
      <c r="D144" s="162">
        <f t="shared" ref="D144:E144" si="150">N144+Q144+T144</f>
        <v>0</v>
      </c>
      <c r="E144" s="163">
        <f t="shared" si="150"/>
        <v>0</v>
      </c>
      <c r="F144" s="164">
        <f t="shared" si="5"/>
        <v>0</v>
      </c>
      <c r="G144" s="170"/>
      <c r="H144" s="170"/>
      <c r="I144" s="171"/>
      <c r="J144" s="183"/>
      <c r="K144" s="183"/>
      <c r="L144" s="183"/>
      <c r="M144" s="163">
        <f t="shared" si="100"/>
        <v>0</v>
      </c>
      <c r="N144" s="170"/>
      <c r="O144" s="166">
        <f t="shared" si="101"/>
        <v>0</v>
      </c>
      <c r="P144" s="183"/>
      <c r="Q144" s="170"/>
      <c r="R144" s="166">
        <f t="shared" si="102"/>
        <v>0</v>
      </c>
      <c r="S144" s="163"/>
      <c r="T144" s="170"/>
      <c r="U144" s="167">
        <f t="shared" si="103"/>
        <v>0</v>
      </c>
      <c r="W144" s="148"/>
    </row>
    <row r="145" spans="1:23" ht="22.5" customHeight="1">
      <c r="A145" s="160">
        <v>45179</v>
      </c>
      <c r="B145" s="161" t="s">
        <v>147</v>
      </c>
      <c r="C145" s="162">
        <f t="shared" si="3"/>
        <v>0</v>
      </c>
      <c r="D145" s="162">
        <f t="shared" ref="D145:E145" si="151">N145+Q145+T145</f>
        <v>0</v>
      </c>
      <c r="E145" s="163">
        <f t="shared" si="151"/>
        <v>0</v>
      </c>
      <c r="F145" s="164">
        <f t="shared" si="5"/>
        <v>0</v>
      </c>
      <c r="G145" s="170"/>
      <c r="H145" s="170"/>
      <c r="I145" s="171"/>
      <c r="J145" s="183"/>
      <c r="K145" s="183"/>
      <c r="L145" s="183"/>
      <c r="M145" s="163">
        <f t="shared" si="100"/>
        <v>0</v>
      </c>
      <c r="N145" s="170"/>
      <c r="O145" s="166">
        <f t="shared" si="101"/>
        <v>0</v>
      </c>
      <c r="P145" s="183"/>
      <c r="Q145" s="170"/>
      <c r="R145" s="166">
        <f t="shared" si="102"/>
        <v>0</v>
      </c>
      <c r="S145" s="163"/>
      <c r="T145" s="170"/>
      <c r="U145" s="167">
        <f t="shared" si="103"/>
        <v>0</v>
      </c>
      <c r="W145" s="148"/>
    </row>
    <row r="146" spans="1:23" ht="22.5" customHeight="1">
      <c r="A146" s="160">
        <v>45180</v>
      </c>
      <c r="B146" s="161" t="s">
        <v>148</v>
      </c>
      <c r="C146" s="162">
        <f t="shared" si="3"/>
        <v>0</v>
      </c>
      <c r="D146" s="162">
        <f t="shared" ref="D146:E146" si="152">N146+Q146+T146</f>
        <v>0</v>
      </c>
      <c r="E146" s="163">
        <f t="shared" si="152"/>
        <v>0</v>
      </c>
      <c r="F146" s="164">
        <f t="shared" si="5"/>
        <v>0</v>
      </c>
      <c r="G146" s="163"/>
      <c r="H146" s="163"/>
      <c r="I146" s="165"/>
      <c r="J146" s="163"/>
      <c r="K146" s="163"/>
      <c r="L146" s="163"/>
      <c r="M146" s="163">
        <f t="shared" si="100"/>
        <v>0</v>
      </c>
      <c r="N146" s="163"/>
      <c r="O146" s="166">
        <f t="shared" si="101"/>
        <v>0</v>
      </c>
      <c r="P146" s="163"/>
      <c r="Q146" s="163"/>
      <c r="R146" s="166">
        <f t="shared" si="102"/>
        <v>0</v>
      </c>
      <c r="S146" s="163"/>
      <c r="T146" s="163"/>
      <c r="U146" s="167">
        <f t="shared" si="103"/>
        <v>0</v>
      </c>
      <c r="W146" s="148"/>
    </row>
    <row r="147" spans="1:23" ht="22.5" customHeight="1">
      <c r="A147" s="160">
        <v>45181</v>
      </c>
      <c r="B147" s="161" t="s">
        <v>142</v>
      </c>
      <c r="C147" s="162">
        <f t="shared" si="3"/>
        <v>0</v>
      </c>
      <c r="D147" s="162">
        <f t="shared" ref="D147:E147" si="153">N147+Q147+T147</f>
        <v>0</v>
      </c>
      <c r="E147" s="163">
        <f t="shared" si="153"/>
        <v>0</v>
      </c>
      <c r="F147" s="164">
        <f t="shared" si="5"/>
        <v>0</v>
      </c>
      <c r="G147" s="163"/>
      <c r="H147" s="166"/>
      <c r="I147" s="163"/>
      <c r="J147" s="163"/>
      <c r="K147" s="163"/>
      <c r="L147" s="163"/>
      <c r="M147" s="163">
        <f t="shared" si="100"/>
        <v>0</v>
      </c>
      <c r="N147" s="163"/>
      <c r="O147" s="166">
        <f t="shared" si="101"/>
        <v>0</v>
      </c>
      <c r="P147" s="163"/>
      <c r="Q147" s="163"/>
      <c r="R147" s="166">
        <f t="shared" si="102"/>
        <v>0</v>
      </c>
      <c r="S147" s="163"/>
      <c r="T147" s="163"/>
      <c r="U147" s="167">
        <f t="shared" si="103"/>
        <v>0</v>
      </c>
      <c r="W147" s="148"/>
    </row>
    <row r="148" spans="1:23" ht="22.5" customHeight="1">
      <c r="A148" s="160">
        <v>45182</v>
      </c>
      <c r="B148" s="161" t="s">
        <v>143</v>
      </c>
      <c r="C148" s="162">
        <f t="shared" si="3"/>
        <v>0</v>
      </c>
      <c r="D148" s="162">
        <f t="shared" ref="D148:E148" si="154">N148+Q148+T148</f>
        <v>0</v>
      </c>
      <c r="E148" s="163">
        <f t="shared" si="154"/>
        <v>0</v>
      </c>
      <c r="F148" s="164">
        <f t="shared" si="5"/>
        <v>0</v>
      </c>
      <c r="G148" s="163"/>
      <c r="H148" s="166"/>
      <c r="I148" s="163"/>
      <c r="J148" s="163"/>
      <c r="K148" s="163"/>
      <c r="L148" s="163"/>
      <c r="M148" s="163">
        <f t="shared" si="100"/>
        <v>0</v>
      </c>
      <c r="N148" s="163"/>
      <c r="O148" s="166">
        <f t="shared" si="101"/>
        <v>0</v>
      </c>
      <c r="P148" s="163"/>
      <c r="Q148" s="163"/>
      <c r="R148" s="166">
        <f t="shared" si="102"/>
        <v>0</v>
      </c>
      <c r="S148" s="163"/>
      <c r="T148" s="163"/>
      <c r="U148" s="167">
        <f t="shared" si="103"/>
        <v>0</v>
      </c>
      <c r="W148" s="148"/>
    </row>
    <row r="149" spans="1:23" ht="22.5" customHeight="1">
      <c r="A149" s="160">
        <v>45183</v>
      </c>
      <c r="B149" s="161" t="s">
        <v>144</v>
      </c>
      <c r="C149" s="162">
        <f t="shared" si="3"/>
        <v>0</v>
      </c>
      <c r="D149" s="162">
        <f t="shared" ref="D149:E149" si="155">N149+Q149+T149</f>
        <v>0</v>
      </c>
      <c r="E149" s="163">
        <f t="shared" si="155"/>
        <v>0</v>
      </c>
      <c r="F149" s="164">
        <f t="shared" si="5"/>
        <v>0</v>
      </c>
      <c r="G149" s="163"/>
      <c r="H149" s="166"/>
      <c r="I149" s="163"/>
      <c r="J149" s="163"/>
      <c r="K149" s="163"/>
      <c r="L149" s="163"/>
      <c r="M149" s="163">
        <f t="shared" si="100"/>
        <v>0</v>
      </c>
      <c r="N149" s="163"/>
      <c r="O149" s="166">
        <f t="shared" si="101"/>
        <v>0</v>
      </c>
      <c r="P149" s="163"/>
      <c r="Q149" s="163"/>
      <c r="R149" s="166">
        <f t="shared" si="102"/>
        <v>0</v>
      </c>
      <c r="S149" s="163"/>
      <c r="T149" s="163"/>
      <c r="U149" s="167">
        <f t="shared" si="103"/>
        <v>0</v>
      </c>
      <c r="W149" s="148"/>
    </row>
    <row r="150" spans="1:23" ht="22.5" customHeight="1">
      <c r="A150" s="160">
        <v>45184</v>
      </c>
      <c r="B150" s="161" t="s">
        <v>145</v>
      </c>
      <c r="C150" s="162">
        <f t="shared" si="3"/>
        <v>0</v>
      </c>
      <c r="D150" s="162">
        <f t="shared" ref="D150:E150" si="156">N150+Q150+T150</f>
        <v>0</v>
      </c>
      <c r="E150" s="163">
        <f t="shared" si="156"/>
        <v>0</v>
      </c>
      <c r="F150" s="164">
        <f t="shared" si="5"/>
        <v>0</v>
      </c>
      <c r="G150" s="163"/>
      <c r="H150" s="166"/>
      <c r="I150" s="163"/>
      <c r="J150" s="163"/>
      <c r="K150" s="163"/>
      <c r="L150" s="163"/>
      <c r="M150" s="163">
        <f t="shared" si="100"/>
        <v>0</v>
      </c>
      <c r="N150" s="163"/>
      <c r="O150" s="166">
        <f t="shared" si="101"/>
        <v>0</v>
      </c>
      <c r="P150" s="163"/>
      <c r="Q150" s="163"/>
      <c r="R150" s="166">
        <f t="shared" si="102"/>
        <v>0</v>
      </c>
      <c r="S150" s="163"/>
      <c r="T150" s="163"/>
      <c r="U150" s="167">
        <f t="shared" si="103"/>
        <v>0</v>
      </c>
      <c r="W150" s="148"/>
    </row>
    <row r="151" spans="1:23" ht="22.5" customHeight="1">
      <c r="A151" s="160">
        <v>45185</v>
      </c>
      <c r="B151" s="161" t="s">
        <v>146</v>
      </c>
      <c r="C151" s="162">
        <f t="shared" si="3"/>
        <v>0</v>
      </c>
      <c r="D151" s="162">
        <f t="shared" ref="D151:E151" si="157">N151+Q151+T151</f>
        <v>0</v>
      </c>
      <c r="E151" s="163">
        <f t="shared" si="157"/>
        <v>0</v>
      </c>
      <c r="F151" s="164">
        <f t="shared" si="5"/>
        <v>0</v>
      </c>
      <c r="G151" s="163"/>
      <c r="H151" s="166"/>
      <c r="I151" s="163"/>
      <c r="J151" s="163"/>
      <c r="K151" s="163"/>
      <c r="L151" s="163"/>
      <c r="M151" s="163">
        <f t="shared" si="100"/>
        <v>0</v>
      </c>
      <c r="N151" s="163"/>
      <c r="O151" s="166">
        <f t="shared" si="101"/>
        <v>0</v>
      </c>
      <c r="P151" s="163"/>
      <c r="Q151" s="163"/>
      <c r="R151" s="166">
        <f t="shared" si="102"/>
        <v>0</v>
      </c>
      <c r="S151" s="163"/>
      <c r="T151" s="163"/>
      <c r="U151" s="167">
        <f t="shared" si="103"/>
        <v>0</v>
      </c>
      <c r="W151" s="148"/>
    </row>
    <row r="152" spans="1:23" ht="22.5" customHeight="1">
      <c r="A152" s="160">
        <v>45186</v>
      </c>
      <c r="B152" s="161" t="s">
        <v>147</v>
      </c>
      <c r="C152" s="162">
        <f t="shared" si="3"/>
        <v>0</v>
      </c>
      <c r="D152" s="162">
        <f t="shared" ref="D152:E152" si="158">N152+Q152+T152</f>
        <v>0</v>
      </c>
      <c r="E152" s="163">
        <f t="shared" si="158"/>
        <v>0</v>
      </c>
      <c r="F152" s="164">
        <f t="shared" si="5"/>
        <v>0</v>
      </c>
      <c r="G152" s="163"/>
      <c r="H152" s="166"/>
      <c r="I152" s="163"/>
      <c r="J152" s="163"/>
      <c r="K152" s="163"/>
      <c r="L152" s="163"/>
      <c r="M152" s="163">
        <f t="shared" si="100"/>
        <v>0</v>
      </c>
      <c r="N152" s="163"/>
      <c r="O152" s="166">
        <f t="shared" si="101"/>
        <v>0</v>
      </c>
      <c r="P152" s="163"/>
      <c r="Q152" s="163"/>
      <c r="R152" s="166">
        <f t="shared" si="102"/>
        <v>0</v>
      </c>
      <c r="S152" s="163"/>
      <c r="T152" s="163"/>
      <c r="U152" s="167">
        <f t="shared" si="103"/>
        <v>0</v>
      </c>
      <c r="W152" s="148"/>
    </row>
    <row r="153" spans="1:23" ht="22.5" customHeight="1">
      <c r="A153" s="160">
        <v>45187</v>
      </c>
      <c r="B153" s="161" t="s">
        <v>148</v>
      </c>
      <c r="C153" s="162">
        <f t="shared" si="3"/>
        <v>0</v>
      </c>
      <c r="D153" s="162">
        <f t="shared" ref="D153:E153" si="159">N153+Q153+T153</f>
        <v>0</v>
      </c>
      <c r="E153" s="163">
        <f t="shared" si="159"/>
        <v>0</v>
      </c>
      <c r="F153" s="164">
        <f t="shared" si="5"/>
        <v>0</v>
      </c>
      <c r="G153" s="163"/>
      <c r="H153" s="163"/>
      <c r="I153" s="165"/>
      <c r="J153" s="163"/>
      <c r="K153" s="163"/>
      <c r="L153" s="163"/>
      <c r="M153" s="163">
        <f t="shared" si="100"/>
        <v>0</v>
      </c>
      <c r="N153" s="163"/>
      <c r="O153" s="166">
        <f t="shared" si="101"/>
        <v>0</v>
      </c>
      <c r="P153" s="163"/>
      <c r="Q153" s="163"/>
      <c r="R153" s="166">
        <f t="shared" si="102"/>
        <v>0</v>
      </c>
      <c r="S153" s="163"/>
      <c r="T153" s="163"/>
      <c r="U153" s="167">
        <f t="shared" si="103"/>
        <v>0</v>
      </c>
      <c r="W153" s="148"/>
    </row>
    <row r="154" spans="1:23" ht="22.5" customHeight="1">
      <c r="A154" s="160">
        <v>45188</v>
      </c>
      <c r="B154" s="161" t="s">
        <v>142</v>
      </c>
      <c r="C154" s="162">
        <f t="shared" si="3"/>
        <v>0</v>
      </c>
      <c r="D154" s="162">
        <f t="shared" ref="D154:E154" si="160">N154+Q154+T154</f>
        <v>0</v>
      </c>
      <c r="E154" s="163">
        <f t="shared" si="160"/>
        <v>0</v>
      </c>
      <c r="F154" s="164">
        <f t="shared" si="5"/>
        <v>0</v>
      </c>
      <c r="G154" s="163"/>
      <c r="H154" s="166"/>
      <c r="I154" s="163"/>
      <c r="J154" s="163"/>
      <c r="K154" s="163"/>
      <c r="L154" s="163"/>
      <c r="M154" s="163">
        <f t="shared" si="100"/>
        <v>0</v>
      </c>
      <c r="N154" s="163"/>
      <c r="O154" s="166">
        <f t="shared" si="101"/>
        <v>0</v>
      </c>
      <c r="P154" s="163"/>
      <c r="Q154" s="163"/>
      <c r="R154" s="166">
        <f t="shared" si="102"/>
        <v>0</v>
      </c>
      <c r="S154" s="163"/>
      <c r="T154" s="163"/>
      <c r="U154" s="167">
        <f t="shared" si="103"/>
        <v>0</v>
      </c>
      <c r="V154" s="174" t="s">
        <v>149</v>
      </c>
      <c r="W154" s="175">
        <f>PRESUPUESTO!S27</f>
        <v>73154.092439558692</v>
      </c>
    </row>
    <row r="155" spans="1:23" ht="22.5" customHeight="1">
      <c r="A155" s="160">
        <v>45189</v>
      </c>
      <c r="B155" s="161" t="s">
        <v>143</v>
      </c>
      <c r="C155" s="162">
        <f t="shared" si="3"/>
        <v>0</v>
      </c>
      <c r="D155" s="162">
        <f t="shared" ref="D155:E155" si="161">N155+Q155+T155</f>
        <v>0</v>
      </c>
      <c r="E155" s="163">
        <f t="shared" si="161"/>
        <v>0</v>
      </c>
      <c r="F155" s="164">
        <f t="shared" si="5"/>
        <v>0</v>
      </c>
      <c r="G155" s="163"/>
      <c r="H155" s="166"/>
      <c r="I155" s="163"/>
      <c r="J155" s="163"/>
      <c r="K155" s="163"/>
      <c r="L155" s="163"/>
      <c r="M155" s="163">
        <f t="shared" si="100"/>
        <v>0</v>
      </c>
      <c r="N155" s="163"/>
      <c r="O155" s="166">
        <f t="shared" si="101"/>
        <v>0</v>
      </c>
      <c r="P155" s="163"/>
      <c r="Q155" s="163"/>
      <c r="R155" s="166">
        <f t="shared" si="102"/>
        <v>0</v>
      </c>
      <c r="S155" s="163"/>
      <c r="T155" s="163"/>
      <c r="U155" s="167">
        <f t="shared" si="103"/>
        <v>0</v>
      </c>
      <c r="V155" s="174" t="s">
        <v>150</v>
      </c>
      <c r="W155" s="175">
        <f>SUBTOTAL(9,C129:C159)</f>
        <v>0</v>
      </c>
    </row>
    <row r="156" spans="1:23" ht="22.5" customHeight="1">
      <c r="A156" s="160">
        <v>45190</v>
      </c>
      <c r="B156" s="161" t="s">
        <v>144</v>
      </c>
      <c r="C156" s="162">
        <f t="shared" si="3"/>
        <v>0</v>
      </c>
      <c r="D156" s="162">
        <f t="shared" ref="D156:E156" si="162">N156+Q156+T156</f>
        <v>0</v>
      </c>
      <c r="E156" s="163">
        <f t="shared" si="162"/>
        <v>0</v>
      </c>
      <c r="F156" s="164">
        <f t="shared" si="5"/>
        <v>0</v>
      </c>
      <c r="G156" s="163"/>
      <c r="H156" s="166"/>
      <c r="I156" s="163"/>
      <c r="J156" s="163"/>
      <c r="K156" s="163"/>
      <c r="L156" s="163"/>
      <c r="M156" s="163">
        <f t="shared" si="100"/>
        <v>0</v>
      </c>
      <c r="N156" s="163"/>
      <c r="O156" s="166">
        <f t="shared" si="101"/>
        <v>0</v>
      </c>
      <c r="P156" s="163"/>
      <c r="Q156" s="163"/>
      <c r="R156" s="166">
        <f t="shared" si="102"/>
        <v>0</v>
      </c>
      <c r="S156" s="163"/>
      <c r="T156" s="163"/>
      <c r="U156" s="167">
        <f t="shared" si="103"/>
        <v>0</v>
      </c>
      <c r="V156" s="174" t="s">
        <v>151</v>
      </c>
      <c r="W156" s="175">
        <f>SUM(N129:N159)+SUM(Q129:Q159)+SUM(T129:T159)</f>
        <v>0</v>
      </c>
    </row>
    <row r="157" spans="1:23" ht="22.5" customHeight="1">
      <c r="A157" s="160">
        <v>45191</v>
      </c>
      <c r="B157" s="161" t="s">
        <v>145</v>
      </c>
      <c r="C157" s="162">
        <f t="shared" si="3"/>
        <v>0</v>
      </c>
      <c r="D157" s="162">
        <f t="shared" ref="D157:E157" si="163">N157+Q157+T157</f>
        <v>0</v>
      </c>
      <c r="E157" s="163">
        <f t="shared" si="163"/>
        <v>0</v>
      </c>
      <c r="F157" s="164">
        <f t="shared" si="5"/>
        <v>0</v>
      </c>
      <c r="G157" s="163"/>
      <c r="H157" s="166"/>
      <c r="I157" s="163"/>
      <c r="J157" s="163"/>
      <c r="K157" s="163"/>
      <c r="L157" s="163"/>
      <c r="M157" s="163">
        <f t="shared" si="100"/>
        <v>0</v>
      </c>
      <c r="N157" s="163"/>
      <c r="O157" s="166">
        <f t="shared" si="101"/>
        <v>0</v>
      </c>
      <c r="P157" s="163"/>
      <c r="Q157" s="163"/>
      <c r="R157" s="166">
        <f t="shared" si="102"/>
        <v>0</v>
      </c>
      <c r="S157" s="163"/>
      <c r="T157" s="163"/>
      <c r="U157" s="167">
        <f t="shared" si="103"/>
        <v>0</v>
      </c>
      <c r="V157" s="174" t="s">
        <v>152</v>
      </c>
      <c r="W157" s="175">
        <f>SUM(O129:O159)+SUM(R129:R159)+SUM(U129:U159)</f>
        <v>0</v>
      </c>
    </row>
    <row r="158" spans="1:23" ht="22.5" customHeight="1">
      <c r="A158" s="160">
        <v>45192</v>
      </c>
      <c r="B158" s="161" t="s">
        <v>146</v>
      </c>
      <c r="C158" s="162">
        <f t="shared" si="3"/>
        <v>0</v>
      </c>
      <c r="D158" s="162">
        <f t="shared" ref="D158:E158" si="164">N158+Q158+T158</f>
        <v>0</v>
      </c>
      <c r="E158" s="163">
        <f t="shared" si="164"/>
        <v>0</v>
      </c>
      <c r="F158" s="164">
        <f t="shared" si="5"/>
        <v>0</v>
      </c>
      <c r="G158" s="163"/>
      <c r="H158" s="166"/>
      <c r="I158" s="163"/>
      <c r="J158" s="163"/>
      <c r="K158" s="163"/>
      <c r="L158" s="163"/>
      <c r="M158" s="163">
        <f t="shared" si="100"/>
        <v>0</v>
      </c>
      <c r="N158" s="163"/>
      <c r="O158" s="166">
        <f t="shared" si="101"/>
        <v>0</v>
      </c>
      <c r="P158" s="163"/>
      <c r="Q158" s="163"/>
      <c r="R158" s="166">
        <f t="shared" si="102"/>
        <v>0</v>
      </c>
      <c r="S158" s="163"/>
      <c r="T158" s="163"/>
      <c r="U158" s="167">
        <f t="shared" si="103"/>
        <v>0</v>
      </c>
      <c r="V158" s="176" t="s">
        <v>153</v>
      </c>
      <c r="W158" s="177" t="e">
        <f>W155/COUNTIF(C129:C159,"&lt;&gt;0")</f>
        <v>#DIV/0!</v>
      </c>
    </row>
    <row r="159" spans="1:23" ht="22.5" customHeight="1">
      <c r="A159" s="160">
        <v>45193</v>
      </c>
      <c r="B159" s="161" t="s">
        <v>147</v>
      </c>
      <c r="C159" s="178">
        <f t="shared" si="3"/>
        <v>0</v>
      </c>
      <c r="D159" s="178">
        <f t="shared" ref="D159:E159" si="165">N159+Q159+T159</f>
        <v>0</v>
      </c>
      <c r="E159" s="179">
        <f t="shared" si="165"/>
        <v>0</v>
      </c>
      <c r="F159" s="164">
        <f t="shared" si="5"/>
        <v>0</v>
      </c>
      <c r="G159" s="184"/>
      <c r="H159" s="184"/>
      <c r="I159" s="185"/>
      <c r="J159" s="184"/>
      <c r="K159" s="184"/>
      <c r="L159" s="184"/>
      <c r="M159" s="180">
        <f t="shared" si="100"/>
        <v>0</v>
      </c>
      <c r="N159" s="184"/>
      <c r="O159" s="181">
        <f t="shared" si="101"/>
        <v>0</v>
      </c>
      <c r="P159" s="184"/>
      <c r="Q159" s="184"/>
      <c r="R159" s="181">
        <f t="shared" si="102"/>
        <v>0</v>
      </c>
      <c r="S159" s="184"/>
      <c r="T159" s="184"/>
      <c r="U159" s="182">
        <f t="shared" si="103"/>
        <v>0</v>
      </c>
      <c r="V159" s="176" t="s">
        <v>154</v>
      </c>
      <c r="W159" s="177">
        <f>W155/26</f>
        <v>0</v>
      </c>
    </row>
    <row r="160" spans="1:23" ht="22.5" customHeight="1">
      <c r="A160" s="160">
        <v>45194</v>
      </c>
      <c r="B160" s="161" t="s">
        <v>148</v>
      </c>
      <c r="C160" s="162">
        <f t="shared" si="3"/>
        <v>0</v>
      </c>
      <c r="D160" s="162">
        <f t="shared" ref="D160:E160" si="166">N160+Q160+T160</f>
        <v>0</v>
      </c>
      <c r="E160" s="163">
        <f t="shared" si="166"/>
        <v>0</v>
      </c>
      <c r="F160" s="164">
        <f t="shared" si="5"/>
        <v>0</v>
      </c>
      <c r="G160" s="163"/>
      <c r="H160" s="163"/>
      <c r="I160" s="165"/>
      <c r="J160" s="163"/>
      <c r="K160" s="163"/>
      <c r="L160" s="163"/>
      <c r="M160" s="163">
        <f t="shared" si="100"/>
        <v>0</v>
      </c>
      <c r="N160" s="163"/>
      <c r="O160" s="166">
        <f t="shared" si="101"/>
        <v>0</v>
      </c>
      <c r="P160" s="163"/>
      <c r="Q160" s="163"/>
      <c r="R160" s="166">
        <f t="shared" si="102"/>
        <v>0</v>
      </c>
      <c r="S160" s="163"/>
      <c r="T160" s="163"/>
      <c r="U160" s="167">
        <f t="shared" si="103"/>
        <v>0</v>
      </c>
      <c r="W160" s="148"/>
    </row>
    <row r="161" spans="1:23" ht="22.5" customHeight="1">
      <c r="A161" s="160">
        <v>45195</v>
      </c>
      <c r="B161" s="161" t="s">
        <v>142</v>
      </c>
      <c r="C161" s="162">
        <f t="shared" si="3"/>
        <v>0</v>
      </c>
      <c r="D161" s="162">
        <f t="shared" ref="D161:E161" si="167">N161+Q161+T161</f>
        <v>0</v>
      </c>
      <c r="E161" s="163">
        <f t="shared" si="167"/>
        <v>0</v>
      </c>
      <c r="F161" s="164">
        <f t="shared" si="5"/>
        <v>0</v>
      </c>
      <c r="G161" s="163"/>
      <c r="H161" s="163"/>
      <c r="I161" s="165"/>
      <c r="J161" s="163"/>
      <c r="K161" s="163"/>
      <c r="L161" s="163"/>
      <c r="M161" s="163">
        <f t="shared" si="100"/>
        <v>0</v>
      </c>
      <c r="N161" s="163"/>
      <c r="O161" s="166">
        <f t="shared" si="101"/>
        <v>0</v>
      </c>
      <c r="P161" s="163"/>
      <c r="Q161" s="163"/>
      <c r="R161" s="166">
        <f t="shared" si="102"/>
        <v>0</v>
      </c>
      <c r="S161" s="163"/>
      <c r="T161" s="163"/>
      <c r="U161" s="167">
        <f t="shared" si="103"/>
        <v>0</v>
      </c>
      <c r="W161" s="148"/>
    </row>
    <row r="162" spans="1:23" ht="22.5" customHeight="1">
      <c r="A162" s="160">
        <v>45196</v>
      </c>
      <c r="B162" s="161" t="s">
        <v>143</v>
      </c>
      <c r="C162" s="162">
        <f t="shared" si="3"/>
        <v>0</v>
      </c>
      <c r="D162" s="162">
        <f t="shared" ref="D162:E162" si="168">N162+Q162+T162</f>
        <v>0</v>
      </c>
      <c r="E162" s="163">
        <f t="shared" si="168"/>
        <v>0</v>
      </c>
      <c r="F162" s="164">
        <f t="shared" si="5"/>
        <v>0</v>
      </c>
      <c r="G162" s="163"/>
      <c r="H162" s="166"/>
      <c r="I162" s="163"/>
      <c r="J162" s="163"/>
      <c r="K162" s="163"/>
      <c r="L162" s="163"/>
      <c r="M162" s="163">
        <f t="shared" si="100"/>
        <v>0</v>
      </c>
      <c r="N162" s="163"/>
      <c r="O162" s="166">
        <f t="shared" si="101"/>
        <v>0</v>
      </c>
      <c r="P162" s="163"/>
      <c r="Q162" s="163"/>
      <c r="R162" s="166">
        <f t="shared" si="102"/>
        <v>0</v>
      </c>
      <c r="S162" s="163"/>
      <c r="T162" s="163"/>
      <c r="U162" s="167">
        <f t="shared" si="103"/>
        <v>0</v>
      </c>
      <c r="W162" s="148"/>
    </row>
    <row r="163" spans="1:23" ht="22.5" customHeight="1">
      <c r="A163" s="160">
        <v>45197</v>
      </c>
      <c r="B163" s="161" t="s">
        <v>144</v>
      </c>
      <c r="C163" s="162">
        <f t="shared" si="3"/>
        <v>0</v>
      </c>
      <c r="D163" s="162">
        <f t="shared" ref="D163:E163" si="169">N163+Q163+T163</f>
        <v>0</v>
      </c>
      <c r="E163" s="163">
        <f t="shared" si="169"/>
        <v>0</v>
      </c>
      <c r="F163" s="164">
        <f t="shared" si="5"/>
        <v>0</v>
      </c>
      <c r="G163" s="163"/>
      <c r="H163" s="166"/>
      <c r="I163" s="163"/>
      <c r="J163" s="163"/>
      <c r="K163" s="163"/>
      <c r="L163" s="163"/>
      <c r="M163" s="163">
        <f t="shared" si="100"/>
        <v>0</v>
      </c>
      <c r="N163" s="163"/>
      <c r="O163" s="166">
        <f t="shared" si="101"/>
        <v>0</v>
      </c>
      <c r="P163" s="163"/>
      <c r="Q163" s="163"/>
      <c r="R163" s="166">
        <f t="shared" si="102"/>
        <v>0</v>
      </c>
      <c r="S163" s="163"/>
      <c r="T163" s="163"/>
      <c r="U163" s="167">
        <f t="shared" si="103"/>
        <v>0</v>
      </c>
    </row>
    <row r="164" spans="1:23" ht="22.5" customHeight="1">
      <c r="A164" s="160">
        <v>45198</v>
      </c>
      <c r="B164" s="161" t="s">
        <v>145</v>
      </c>
      <c r="C164" s="162">
        <f t="shared" si="3"/>
        <v>0</v>
      </c>
      <c r="D164" s="162">
        <f t="shared" ref="D164:E164" si="170">N164+Q164+T164</f>
        <v>0</v>
      </c>
      <c r="E164" s="163">
        <f t="shared" si="170"/>
        <v>0</v>
      </c>
      <c r="F164" s="164">
        <f t="shared" si="5"/>
        <v>0</v>
      </c>
      <c r="G164" s="163"/>
      <c r="H164" s="166"/>
      <c r="I164" s="163"/>
      <c r="J164" s="163"/>
      <c r="K164" s="163"/>
      <c r="L164" s="163"/>
      <c r="M164" s="163">
        <f t="shared" si="100"/>
        <v>0</v>
      </c>
      <c r="N164" s="163"/>
      <c r="O164" s="166">
        <f t="shared" si="101"/>
        <v>0</v>
      </c>
      <c r="P164" s="163"/>
      <c r="Q164" s="163"/>
      <c r="R164" s="166">
        <f t="shared" si="102"/>
        <v>0</v>
      </c>
      <c r="S164" s="163"/>
      <c r="T164" s="163"/>
      <c r="U164" s="167">
        <f t="shared" si="103"/>
        <v>0</v>
      </c>
    </row>
    <row r="165" spans="1:23" ht="22.5" customHeight="1">
      <c r="A165" s="160">
        <v>45199</v>
      </c>
      <c r="B165" s="161" t="s">
        <v>146</v>
      </c>
      <c r="C165" s="162">
        <f t="shared" si="3"/>
        <v>0</v>
      </c>
      <c r="D165" s="162">
        <f t="shared" ref="D165:E165" si="171">N165+Q165+T165</f>
        <v>0</v>
      </c>
      <c r="E165" s="163">
        <f t="shared" si="171"/>
        <v>0</v>
      </c>
      <c r="F165" s="164">
        <f t="shared" si="5"/>
        <v>0</v>
      </c>
      <c r="G165" s="163"/>
      <c r="H165" s="166"/>
      <c r="I165" s="163"/>
      <c r="J165" s="163"/>
      <c r="K165" s="163"/>
      <c r="L165" s="163"/>
      <c r="M165" s="163">
        <f t="shared" si="100"/>
        <v>0</v>
      </c>
      <c r="N165" s="163"/>
      <c r="O165" s="166">
        <f t="shared" si="101"/>
        <v>0</v>
      </c>
      <c r="P165" s="163"/>
      <c r="Q165" s="163"/>
      <c r="R165" s="166">
        <f t="shared" si="102"/>
        <v>0</v>
      </c>
      <c r="S165" s="163"/>
      <c r="T165" s="163"/>
      <c r="U165" s="167">
        <f t="shared" si="103"/>
        <v>0</v>
      </c>
    </row>
    <row r="166" spans="1:23" ht="22.5" customHeight="1">
      <c r="A166" s="160">
        <v>45200</v>
      </c>
      <c r="B166" s="161" t="s">
        <v>147</v>
      </c>
      <c r="C166" s="162">
        <f t="shared" si="3"/>
        <v>0</v>
      </c>
      <c r="D166" s="162">
        <f t="shared" ref="D166:E166" si="172">N166+Q166+T166</f>
        <v>0</v>
      </c>
      <c r="E166" s="163">
        <f t="shared" si="172"/>
        <v>0</v>
      </c>
      <c r="F166" s="164">
        <f t="shared" si="5"/>
        <v>0</v>
      </c>
      <c r="G166" s="163"/>
      <c r="H166" s="166"/>
      <c r="I166" s="163"/>
      <c r="J166" s="163"/>
      <c r="K166" s="163"/>
      <c r="L166" s="163"/>
      <c r="M166" s="163">
        <f t="shared" si="100"/>
        <v>0</v>
      </c>
      <c r="N166" s="163"/>
      <c r="O166" s="166">
        <f t="shared" si="101"/>
        <v>0</v>
      </c>
      <c r="P166" s="163"/>
      <c r="Q166" s="163"/>
      <c r="R166" s="166">
        <f t="shared" si="102"/>
        <v>0</v>
      </c>
      <c r="S166" s="163"/>
      <c r="T166" s="163"/>
      <c r="U166" s="167">
        <f t="shared" si="103"/>
        <v>0</v>
      </c>
      <c r="W166" s="148"/>
    </row>
    <row r="167" spans="1:23" ht="22.5" customHeight="1">
      <c r="A167" s="160">
        <v>45201</v>
      </c>
      <c r="B167" s="161" t="s">
        <v>148</v>
      </c>
      <c r="C167" s="162">
        <f t="shared" si="3"/>
        <v>0</v>
      </c>
      <c r="D167" s="162">
        <f t="shared" ref="D167:E167" si="173">N167+Q167+T167</f>
        <v>0</v>
      </c>
      <c r="E167" s="163">
        <f t="shared" si="173"/>
        <v>0</v>
      </c>
      <c r="F167" s="164">
        <f t="shared" si="5"/>
        <v>0</v>
      </c>
      <c r="G167" s="163"/>
      <c r="H167" s="163"/>
      <c r="I167" s="165"/>
      <c r="J167" s="163"/>
      <c r="K167" s="163"/>
      <c r="L167" s="163"/>
      <c r="M167" s="163">
        <f t="shared" si="100"/>
        <v>0</v>
      </c>
      <c r="N167" s="163"/>
      <c r="O167" s="166">
        <f t="shared" si="101"/>
        <v>0</v>
      </c>
      <c r="P167" s="163"/>
      <c r="Q167" s="163"/>
      <c r="R167" s="166">
        <f t="shared" si="102"/>
        <v>0</v>
      </c>
      <c r="S167" s="163"/>
      <c r="T167" s="163"/>
      <c r="U167" s="167">
        <f t="shared" si="103"/>
        <v>0</v>
      </c>
      <c r="W167" s="148"/>
    </row>
    <row r="168" spans="1:23" ht="22.5" customHeight="1">
      <c r="A168" s="160">
        <v>45202</v>
      </c>
      <c r="B168" s="161" t="s">
        <v>142</v>
      </c>
      <c r="C168" s="162">
        <f t="shared" si="3"/>
        <v>0</v>
      </c>
      <c r="D168" s="162">
        <f t="shared" ref="D168:E168" si="174">N168+Q168+T168</f>
        <v>0</v>
      </c>
      <c r="E168" s="163">
        <f t="shared" si="174"/>
        <v>0</v>
      </c>
      <c r="F168" s="164">
        <f t="shared" si="5"/>
        <v>0</v>
      </c>
      <c r="G168" s="163"/>
      <c r="H168" s="166"/>
      <c r="I168" s="163"/>
      <c r="J168" s="163"/>
      <c r="K168" s="163"/>
      <c r="L168" s="163"/>
      <c r="M168" s="163">
        <f t="shared" si="100"/>
        <v>0</v>
      </c>
      <c r="N168" s="163"/>
      <c r="O168" s="166">
        <f t="shared" si="101"/>
        <v>0</v>
      </c>
      <c r="P168" s="163"/>
      <c r="Q168" s="163"/>
      <c r="R168" s="166">
        <f t="shared" si="102"/>
        <v>0</v>
      </c>
      <c r="S168" s="163"/>
      <c r="T168" s="163"/>
      <c r="U168" s="167">
        <f t="shared" si="103"/>
        <v>0</v>
      </c>
      <c r="W168" s="148"/>
    </row>
    <row r="169" spans="1:23" ht="22.5" customHeight="1">
      <c r="A169" s="160">
        <v>45203</v>
      </c>
      <c r="B169" s="161" t="s">
        <v>143</v>
      </c>
      <c r="C169" s="162">
        <f t="shared" si="3"/>
        <v>0</v>
      </c>
      <c r="D169" s="162">
        <f t="shared" ref="D169:E169" si="175">N169+Q169+T169</f>
        <v>0</v>
      </c>
      <c r="E169" s="163">
        <f t="shared" si="175"/>
        <v>0</v>
      </c>
      <c r="F169" s="164">
        <f t="shared" si="5"/>
        <v>0</v>
      </c>
      <c r="G169" s="163"/>
      <c r="H169" s="166"/>
      <c r="I169" s="163"/>
      <c r="J169" s="163"/>
      <c r="K169" s="163"/>
      <c r="L169" s="163"/>
      <c r="M169" s="163">
        <f t="shared" si="100"/>
        <v>0</v>
      </c>
      <c r="N169" s="163"/>
      <c r="O169" s="166">
        <f t="shared" si="101"/>
        <v>0</v>
      </c>
      <c r="P169" s="163"/>
      <c r="Q169" s="163"/>
      <c r="R169" s="166">
        <f t="shared" si="102"/>
        <v>0</v>
      </c>
      <c r="S169" s="163"/>
      <c r="T169" s="163"/>
      <c r="U169" s="167">
        <f t="shared" si="103"/>
        <v>0</v>
      </c>
      <c r="W169" s="148"/>
    </row>
    <row r="170" spans="1:23" ht="22.5" customHeight="1">
      <c r="A170" s="160">
        <v>45204</v>
      </c>
      <c r="B170" s="161" t="s">
        <v>144</v>
      </c>
      <c r="C170" s="162">
        <f t="shared" si="3"/>
        <v>0</v>
      </c>
      <c r="D170" s="162">
        <f t="shared" ref="D170:E170" si="176">N170+Q170+T170</f>
        <v>0</v>
      </c>
      <c r="E170" s="163">
        <f t="shared" si="176"/>
        <v>0</v>
      </c>
      <c r="F170" s="164">
        <f t="shared" si="5"/>
        <v>0</v>
      </c>
      <c r="G170" s="163"/>
      <c r="H170" s="166"/>
      <c r="I170" s="163"/>
      <c r="J170" s="163"/>
      <c r="K170" s="163"/>
      <c r="L170" s="163"/>
      <c r="M170" s="163">
        <f t="shared" si="100"/>
        <v>0</v>
      </c>
      <c r="N170" s="163"/>
      <c r="O170" s="166">
        <f t="shared" si="101"/>
        <v>0</v>
      </c>
      <c r="P170" s="163"/>
      <c r="Q170" s="163"/>
      <c r="R170" s="166">
        <f t="shared" si="102"/>
        <v>0</v>
      </c>
      <c r="S170" s="163"/>
      <c r="T170" s="163"/>
      <c r="U170" s="167">
        <f t="shared" si="103"/>
        <v>0</v>
      </c>
      <c r="W170" s="148"/>
    </row>
    <row r="171" spans="1:23" ht="22.5" customHeight="1">
      <c r="A171" s="160">
        <v>45205</v>
      </c>
      <c r="B171" s="161" t="s">
        <v>145</v>
      </c>
      <c r="C171" s="162">
        <f t="shared" si="3"/>
        <v>0</v>
      </c>
      <c r="D171" s="162">
        <f t="shared" ref="D171:E171" si="177">N171+Q171+T171</f>
        <v>0</v>
      </c>
      <c r="E171" s="163">
        <f t="shared" si="177"/>
        <v>0</v>
      </c>
      <c r="F171" s="164">
        <f t="shared" si="5"/>
        <v>0</v>
      </c>
      <c r="G171" s="163"/>
      <c r="H171" s="166"/>
      <c r="I171" s="163"/>
      <c r="J171" s="163"/>
      <c r="K171" s="163"/>
      <c r="L171" s="163"/>
      <c r="M171" s="163">
        <f t="shared" si="100"/>
        <v>0</v>
      </c>
      <c r="N171" s="163"/>
      <c r="O171" s="166">
        <f t="shared" si="101"/>
        <v>0</v>
      </c>
      <c r="P171" s="163"/>
      <c r="Q171" s="163"/>
      <c r="R171" s="166">
        <f t="shared" si="102"/>
        <v>0</v>
      </c>
      <c r="S171" s="163"/>
      <c r="T171" s="163"/>
      <c r="U171" s="167">
        <f t="shared" si="103"/>
        <v>0</v>
      </c>
      <c r="W171" s="148"/>
    </row>
    <row r="172" spans="1:23" ht="22.5" customHeight="1">
      <c r="A172" s="160">
        <v>45206</v>
      </c>
      <c r="B172" s="161" t="s">
        <v>146</v>
      </c>
      <c r="C172" s="162">
        <f t="shared" si="3"/>
        <v>0</v>
      </c>
      <c r="D172" s="162">
        <f t="shared" ref="D172:E172" si="178">N172+Q172+T172</f>
        <v>0</v>
      </c>
      <c r="E172" s="163">
        <f t="shared" si="178"/>
        <v>0</v>
      </c>
      <c r="F172" s="164">
        <f t="shared" si="5"/>
        <v>0</v>
      </c>
      <c r="G172" s="163"/>
      <c r="H172" s="166"/>
      <c r="I172" s="163"/>
      <c r="J172" s="163"/>
      <c r="K172" s="163"/>
      <c r="L172" s="163"/>
      <c r="M172" s="163">
        <f t="shared" si="100"/>
        <v>0</v>
      </c>
      <c r="N172" s="163"/>
      <c r="O172" s="166">
        <f t="shared" si="101"/>
        <v>0</v>
      </c>
      <c r="P172" s="163"/>
      <c r="Q172" s="163"/>
      <c r="R172" s="166">
        <f t="shared" si="102"/>
        <v>0</v>
      </c>
      <c r="S172" s="163"/>
      <c r="T172" s="163"/>
      <c r="U172" s="167">
        <f t="shared" si="103"/>
        <v>0</v>
      </c>
      <c r="W172" s="148"/>
    </row>
    <row r="173" spans="1:23" ht="22.5" customHeight="1">
      <c r="A173" s="160">
        <v>45207</v>
      </c>
      <c r="B173" s="161" t="s">
        <v>147</v>
      </c>
      <c r="C173" s="162">
        <f t="shared" si="3"/>
        <v>0</v>
      </c>
      <c r="D173" s="162">
        <f t="shared" ref="D173:E173" si="179">N173+Q173+T173</f>
        <v>0</v>
      </c>
      <c r="E173" s="163">
        <f t="shared" si="179"/>
        <v>0</v>
      </c>
      <c r="F173" s="164">
        <f t="shared" si="5"/>
        <v>0</v>
      </c>
      <c r="G173" s="170"/>
      <c r="H173" s="172"/>
      <c r="I173" s="170"/>
      <c r="J173" s="183"/>
      <c r="K173" s="183"/>
      <c r="L173" s="183"/>
      <c r="M173" s="163">
        <f t="shared" si="100"/>
        <v>0</v>
      </c>
      <c r="N173" s="170"/>
      <c r="O173" s="166">
        <f t="shared" si="101"/>
        <v>0</v>
      </c>
      <c r="P173" s="183"/>
      <c r="Q173" s="170"/>
      <c r="R173" s="166">
        <f t="shared" si="102"/>
        <v>0</v>
      </c>
      <c r="S173" s="163"/>
      <c r="T173" s="170"/>
      <c r="U173" s="167">
        <f t="shared" si="103"/>
        <v>0</v>
      </c>
      <c r="W173" s="148"/>
    </row>
    <row r="174" spans="1:23" ht="22.5" customHeight="1">
      <c r="A174" s="160">
        <v>45208</v>
      </c>
      <c r="B174" s="161" t="s">
        <v>148</v>
      </c>
      <c r="C174" s="162">
        <f t="shared" si="3"/>
        <v>0</v>
      </c>
      <c r="D174" s="162">
        <f t="shared" ref="D174:E174" si="180">N174+Q174+T174</f>
        <v>0</v>
      </c>
      <c r="E174" s="163">
        <f t="shared" si="180"/>
        <v>0</v>
      </c>
      <c r="F174" s="164">
        <f t="shared" si="5"/>
        <v>0</v>
      </c>
      <c r="G174" s="163"/>
      <c r="H174" s="163"/>
      <c r="I174" s="165"/>
      <c r="J174" s="163"/>
      <c r="K174" s="163"/>
      <c r="L174" s="163"/>
      <c r="M174" s="163">
        <f t="shared" si="100"/>
        <v>0</v>
      </c>
      <c r="N174" s="163"/>
      <c r="O174" s="166">
        <f t="shared" si="101"/>
        <v>0</v>
      </c>
      <c r="P174" s="163"/>
      <c r="Q174" s="163"/>
      <c r="R174" s="166">
        <f t="shared" si="102"/>
        <v>0</v>
      </c>
      <c r="S174" s="163"/>
      <c r="T174" s="163"/>
      <c r="U174" s="167">
        <f t="shared" si="103"/>
        <v>0</v>
      </c>
      <c r="W174" s="148"/>
    </row>
    <row r="175" spans="1:23" ht="22.5" customHeight="1">
      <c r="A175" s="160">
        <v>45209</v>
      </c>
      <c r="B175" s="161" t="s">
        <v>142</v>
      </c>
      <c r="C175" s="162">
        <f t="shared" si="3"/>
        <v>0</v>
      </c>
      <c r="D175" s="162">
        <f t="shared" ref="D175:E175" si="181">N175+Q175+T175</f>
        <v>0</v>
      </c>
      <c r="E175" s="163">
        <f t="shared" si="181"/>
        <v>0</v>
      </c>
      <c r="F175" s="164">
        <f t="shared" si="5"/>
        <v>0</v>
      </c>
      <c r="G175" s="163"/>
      <c r="H175" s="163"/>
      <c r="I175" s="165"/>
      <c r="J175" s="163"/>
      <c r="K175" s="163"/>
      <c r="L175" s="163"/>
      <c r="M175" s="163">
        <f t="shared" si="100"/>
        <v>0</v>
      </c>
      <c r="N175" s="163"/>
      <c r="O175" s="166">
        <f t="shared" si="101"/>
        <v>0</v>
      </c>
      <c r="P175" s="163"/>
      <c r="Q175" s="163"/>
      <c r="R175" s="166">
        <f t="shared" si="102"/>
        <v>0</v>
      </c>
      <c r="S175" s="163"/>
      <c r="T175" s="163"/>
      <c r="U175" s="167">
        <f t="shared" si="103"/>
        <v>0</v>
      </c>
      <c r="W175" s="148"/>
    </row>
    <row r="176" spans="1:23" ht="22.5" customHeight="1">
      <c r="A176" s="160">
        <v>45210</v>
      </c>
      <c r="B176" s="161" t="s">
        <v>143</v>
      </c>
      <c r="C176" s="162">
        <f t="shared" si="3"/>
        <v>0</v>
      </c>
      <c r="D176" s="162">
        <f t="shared" ref="D176:E176" si="182">N176+Q176+T176</f>
        <v>0</v>
      </c>
      <c r="E176" s="163">
        <f t="shared" si="182"/>
        <v>0</v>
      </c>
      <c r="F176" s="164">
        <f t="shared" si="5"/>
        <v>0</v>
      </c>
      <c r="G176" s="163"/>
      <c r="H176" s="166"/>
      <c r="I176" s="163"/>
      <c r="J176" s="163"/>
      <c r="K176" s="163"/>
      <c r="L176" s="163"/>
      <c r="M176" s="163">
        <f t="shared" si="100"/>
        <v>0</v>
      </c>
      <c r="N176" s="163"/>
      <c r="O176" s="166">
        <f t="shared" si="101"/>
        <v>0</v>
      </c>
      <c r="P176" s="163"/>
      <c r="Q176" s="163"/>
      <c r="R176" s="166">
        <f t="shared" si="102"/>
        <v>0</v>
      </c>
      <c r="S176" s="163"/>
      <c r="T176" s="163"/>
      <c r="U176" s="167">
        <f t="shared" si="103"/>
        <v>0</v>
      </c>
      <c r="W176" s="148"/>
    </row>
    <row r="177" spans="1:23" ht="22.5" customHeight="1">
      <c r="A177" s="160">
        <v>45211</v>
      </c>
      <c r="B177" s="161" t="s">
        <v>144</v>
      </c>
      <c r="C177" s="162">
        <f t="shared" si="3"/>
        <v>0</v>
      </c>
      <c r="D177" s="162">
        <f t="shared" ref="D177:E177" si="183">N177+Q177+T177</f>
        <v>0</v>
      </c>
      <c r="E177" s="163">
        <f t="shared" si="183"/>
        <v>0</v>
      </c>
      <c r="F177" s="164">
        <f t="shared" si="5"/>
        <v>0</v>
      </c>
      <c r="G177" s="163"/>
      <c r="H177" s="166"/>
      <c r="I177" s="163"/>
      <c r="J177" s="163"/>
      <c r="K177" s="163"/>
      <c r="L177" s="163"/>
      <c r="M177" s="163">
        <f t="shared" si="100"/>
        <v>0</v>
      </c>
      <c r="N177" s="163"/>
      <c r="O177" s="166">
        <f t="shared" si="101"/>
        <v>0</v>
      </c>
      <c r="P177" s="163"/>
      <c r="Q177" s="163"/>
      <c r="R177" s="166">
        <f t="shared" si="102"/>
        <v>0</v>
      </c>
      <c r="S177" s="163"/>
      <c r="T177" s="163"/>
      <c r="U177" s="167">
        <f t="shared" si="103"/>
        <v>0</v>
      </c>
      <c r="W177" s="148"/>
    </row>
    <row r="178" spans="1:23" ht="22.5" customHeight="1">
      <c r="A178" s="160">
        <v>45212</v>
      </c>
      <c r="B178" s="161" t="s">
        <v>145</v>
      </c>
      <c r="C178" s="162">
        <f t="shared" si="3"/>
        <v>0</v>
      </c>
      <c r="D178" s="162">
        <f t="shared" ref="D178:E178" si="184">N178+Q178+T178</f>
        <v>0</v>
      </c>
      <c r="E178" s="163">
        <f t="shared" si="184"/>
        <v>0</v>
      </c>
      <c r="F178" s="164">
        <f t="shared" si="5"/>
        <v>0</v>
      </c>
      <c r="G178" s="163"/>
      <c r="H178" s="166"/>
      <c r="I178" s="163"/>
      <c r="J178" s="163"/>
      <c r="K178" s="163"/>
      <c r="L178" s="163"/>
      <c r="M178" s="163">
        <f t="shared" si="100"/>
        <v>0</v>
      </c>
      <c r="N178" s="163"/>
      <c r="O178" s="166">
        <f t="shared" si="101"/>
        <v>0</v>
      </c>
      <c r="P178" s="163"/>
      <c r="Q178" s="163"/>
      <c r="R178" s="166">
        <f t="shared" si="102"/>
        <v>0</v>
      </c>
      <c r="S178" s="163"/>
      <c r="T178" s="163"/>
      <c r="U178" s="167">
        <f t="shared" si="103"/>
        <v>0</v>
      </c>
      <c r="W178" s="148"/>
    </row>
    <row r="179" spans="1:23" ht="22.5" customHeight="1">
      <c r="A179" s="160">
        <v>45213</v>
      </c>
      <c r="B179" s="161" t="s">
        <v>146</v>
      </c>
      <c r="C179" s="162">
        <f t="shared" si="3"/>
        <v>0</v>
      </c>
      <c r="D179" s="162">
        <f t="shared" ref="D179:E179" si="185">N179+Q179+T179</f>
        <v>0</v>
      </c>
      <c r="E179" s="163">
        <f t="shared" si="185"/>
        <v>0</v>
      </c>
      <c r="F179" s="164">
        <f t="shared" si="5"/>
        <v>0</v>
      </c>
      <c r="G179" s="163"/>
      <c r="H179" s="166"/>
      <c r="I179" s="163"/>
      <c r="J179" s="163"/>
      <c r="K179" s="163"/>
      <c r="L179" s="163"/>
      <c r="M179" s="163">
        <f t="shared" si="100"/>
        <v>0</v>
      </c>
      <c r="N179" s="163"/>
      <c r="O179" s="166">
        <f t="shared" si="101"/>
        <v>0</v>
      </c>
      <c r="P179" s="163"/>
      <c r="Q179" s="163"/>
      <c r="R179" s="166">
        <f t="shared" si="102"/>
        <v>0</v>
      </c>
      <c r="S179" s="163"/>
      <c r="T179" s="163"/>
      <c r="U179" s="167">
        <f t="shared" si="103"/>
        <v>0</v>
      </c>
      <c r="W179" s="148"/>
    </row>
    <row r="180" spans="1:23" ht="22.5" customHeight="1">
      <c r="A180" s="160">
        <v>45214</v>
      </c>
      <c r="B180" s="161" t="s">
        <v>147</v>
      </c>
      <c r="C180" s="162">
        <f t="shared" si="3"/>
        <v>0</v>
      </c>
      <c r="D180" s="162">
        <f t="shared" ref="D180:E180" si="186">N180+Q180+T180</f>
        <v>0</v>
      </c>
      <c r="E180" s="163">
        <f t="shared" si="186"/>
        <v>0</v>
      </c>
      <c r="F180" s="164">
        <f t="shared" si="5"/>
        <v>0</v>
      </c>
      <c r="G180" s="163"/>
      <c r="H180" s="166"/>
      <c r="I180" s="163"/>
      <c r="J180" s="163"/>
      <c r="K180" s="163"/>
      <c r="L180" s="163"/>
      <c r="M180" s="163">
        <f t="shared" si="100"/>
        <v>0</v>
      </c>
      <c r="N180" s="163"/>
      <c r="O180" s="166">
        <f t="shared" si="101"/>
        <v>0</v>
      </c>
      <c r="P180" s="163"/>
      <c r="Q180" s="163"/>
      <c r="R180" s="166">
        <f t="shared" si="102"/>
        <v>0</v>
      </c>
      <c r="S180" s="163"/>
      <c r="T180" s="163"/>
      <c r="U180" s="167">
        <f t="shared" si="103"/>
        <v>0</v>
      </c>
      <c r="W180" s="148"/>
    </row>
    <row r="181" spans="1:23" ht="22.5" customHeight="1">
      <c r="A181" s="160">
        <v>45215</v>
      </c>
      <c r="B181" s="161" t="s">
        <v>148</v>
      </c>
      <c r="C181" s="162">
        <f t="shared" si="3"/>
        <v>0</v>
      </c>
      <c r="D181" s="162">
        <f t="shared" ref="D181:E181" si="187">N181+Q181+T181</f>
        <v>0</v>
      </c>
      <c r="E181" s="163">
        <f t="shared" si="187"/>
        <v>0</v>
      </c>
      <c r="F181" s="164">
        <f t="shared" si="5"/>
        <v>0</v>
      </c>
      <c r="G181" s="163"/>
      <c r="H181" s="163"/>
      <c r="I181" s="165"/>
      <c r="J181" s="163"/>
      <c r="K181" s="163"/>
      <c r="L181" s="163"/>
      <c r="M181" s="163">
        <f t="shared" si="100"/>
        <v>0</v>
      </c>
      <c r="N181" s="163"/>
      <c r="O181" s="166">
        <f t="shared" si="101"/>
        <v>0</v>
      </c>
      <c r="P181" s="163"/>
      <c r="Q181" s="163"/>
      <c r="R181" s="166">
        <f t="shared" si="102"/>
        <v>0</v>
      </c>
      <c r="S181" s="163"/>
      <c r="T181" s="163"/>
      <c r="U181" s="167">
        <f t="shared" si="103"/>
        <v>0</v>
      </c>
      <c r="W181" s="148"/>
    </row>
    <row r="182" spans="1:23" ht="22.5" customHeight="1">
      <c r="A182" s="160">
        <v>45216</v>
      </c>
      <c r="B182" s="161" t="s">
        <v>142</v>
      </c>
      <c r="C182" s="162">
        <f t="shared" si="3"/>
        <v>0</v>
      </c>
      <c r="D182" s="162">
        <f t="shared" ref="D182:E182" si="188">N182+Q182+T182</f>
        <v>0</v>
      </c>
      <c r="E182" s="163">
        <f t="shared" si="188"/>
        <v>0</v>
      </c>
      <c r="F182" s="164">
        <f t="shared" si="5"/>
        <v>0</v>
      </c>
      <c r="G182" s="163"/>
      <c r="H182" s="166"/>
      <c r="I182" s="163"/>
      <c r="J182" s="163"/>
      <c r="K182" s="163"/>
      <c r="L182" s="163"/>
      <c r="M182" s="163">
        <f t="shared" si="100"/>
        <v>0</v>
      </c>
      <c r="N182" s="163"/>
      <c r="O182" s="166">
        <f t="shared" si="101"/>
        <v>0</v>
      </c>
      <c r="P182" s="163"/>
      <c r="Q182" s="163"/>
      <c r="R182" s="166">
        <f t="shared" si="102"/>
        <v>0</v>
      </c>
      <c r="S182" s="163"/>
      <c r="T182" s="163"/>
      <c r="U182" s="167">
        <f t="shared" si="103"/>
        <v>0</v>
      </c>
      <c r="W182" s="148"/>
    </row>
    <row r="183" spans="1:23" ht="22.5" customHeight="1">
      <c r="A183" s="160">
        <v>45217</v>
      </c>
      <c r="B183" s="161" t="s">
        <v>143</v>
      </c>
      <c r="C183" s="162">
        <f t="shared" si="3"/>
        <v>0</v>
      </c>
      <c r="D183" s="162">
        <f t="shared" ref="D183:E183" si="189">N183+Q183+T183</f>
        <v>0</v>
      </c>
      <c r="E183" s="163">
        <f t="shared" si="189"/>
        <v>0</v>
      </c>
      <c r="F183" s="164">
        <f t="shared" si="5"/>
        <v>0</v>
      </c>
      <c r="G183" s="163"/>
      <c r="H183" s="166"/>
      <c r="I183" s="163"/>
      <c r="J183" s="163"/>
      <c r="K183" s="163"/>
      <c r="L183" s="163"/>
      <c r="M183" s="163">
        <f t="shared" si="100"/>
        <v>0</v>
      </c>
      <c r="N183" s="163"/>
      <c r="O183" s="166">
        <f t="shared" si="101"/>
        <v>0</v>
      </c>
      <c r="P183" s="163"/>
      <c r="Q183" s="163"/>
      <c r="R183" s="166">
        <f t="shared" si="102"/>
        <v>0</v>
      </c>
      <c r="S183" s="163"/>
      <c r="T183" s="163"/>
      <c r="U183" s="167">
        <f t="shared" si="103"/>
        <v>0</v>
      </c>
      <c r="W183" s="148"/>
    </row>
    <row r="184" spans="1:23" ht="22.5" customHeight="1">
      <c r="A184" s="160">
        <v>45218</v>
      </c>
      <c r="B184" s="161" t="s">
        <v>144</v>
      </c>
      <c r="C184" s="162">
        <f t="shared" si="3"/>
        <v>0</v>
      </c>
      <c r="D184" s="162">
        <f t="shared" ref="D184:E184" si="190">N184+Q184+T184</f>
        <v>0</v>
      </c>
      <c r="E184" s="163">
        <f t="shared" si="190"/>
        <v>0</v>
      </c>
      <c r="F184" s="164">
        <f t="shared" si="5"/>
        <v>0</v>
      </c>
      <c r="G184" s="163"/>
      <c r="H184" s="166"/>
      <c r="I184" s="163"/>
      <c r="J184" s="163"/>
      <c r="K184" s="163"/>
      <c r="L184" s="163"/>
      <c r="M184" s="163">
        <f t="shared" si="100"/>
        <v>0</v>
      </c>
      <c r="N184" s="163"/>
      <c r="O184" s="166">
        <f t="shared" si="101"/>
        <v>0</v>
      </c>
      <c r="P184" s="163"/>
      <c r="Q184" s="163"/>
      <c r="R184" s="166">
        <f t="shared" si="102"/>
        <v>0</v>
      </c>
      <c r="S184" s="163"/>
      <c r="T184" s="163"/>
      <c r="U184" s="167">
        <f t="shared" si="103"/>
        <v>0</v>
      </c>
      <c r="V184" s="174" t="s">
        <v>149</v>
      </c>
      <c r="W184" s="175">
        <f>PRESUPUESTO!V27</f>
        <v>75296.424760437643</v>
      </c>
    </row>
    <row r="185" spans="1:23" ht="22.5" customHeight="1">
      <c r="A185" s="160">
        <v>45219</v>
      </c>
      <c r="B185" s="161" t="s">
        <v>145</v>
      </c>
      <c r="C185" s="162">
        <f t="shared" si="3"/>
        <v>0</v>
      </c>
      <c r="D185" s="162">
        <f t="shared" ref="D185:E185" si="191">N185+Q185+T185</f>
        <v>0</v>
      </c>
      <c r="E185" s="163">
        <f t="shared" si="191"/>
        <v>0</v>
      </c>
      <c r="F185" s="164">
        <f t="shared" si="5"/>
        <v>0</v>
      </c>
      <c r="G185" s="163"/>
      <c r="H185" s="166"/>
      <c r="I185" s="163"/>
      <c r="J185" s="163"/>
      <c r="K185" s="163"/>
      <c r="L185" s="163"/>
      <c r="M185" s="163">
        <f t="shared" si="100"/>
        <v>0</v>
      </c>
      <c r="N185" s="163"/>
      <c r="O185" s="166">
        <f t="shared" si="101"/>
        <v>0</v>
      </c>
      <c r="P185" s="163"/>
      <c r="Q185" s="163"/>
      <c r="R185" s="166">
        <f t="shared" si="102"/>
        <v>0</v>
      </c>
      <c r="S185" s="163"/>
      <c r="T185" s="163"/>
      <c r="U185" s="167">
        <f t="shared" si="103"/>
        <v>0</v>
      </c>
      <c r="V185" s="174" t="s">
        <v>150</v>
      </c>
      <c r="W185" s="175">
        <f>SUBTOTAL(9,C160:C189)</f>
        <v>0</v>
      </c>
    </row>
    <row r="186" spans="1:23" ht="22.5" customHeight="1">
      <c r="A186" s="160">
        <v>45220</v>
      </c>
      <c r="B186" s="161" t="s">
        <v>146</v>
      </c>
      <c r="C186" s="162">
        <f t="shared" si="3"/>
        <v>0</v>
      </c>
      <c r="D186" s="162">
        <f t="shared" ref="D186:E186" si="192">N186+Q186+T186</f>
        <v>0</v>
      </c>
      <c r="E186" s="163">
        <f t="shared" si="192"/>
        <v>0</v>
      </c>
      <c r="F186" s="164">
        <f t="shared" si="5"/>
        <v>0</v>
      </c>
      <c r="G186" s="163"/>
      <c r="H186" s="166"/>
      <c r="I186" s="163"/>
      <c r="J186" s="163"/>
      <c r="K186" s="163"/>
      <c r="L186" s="163"/>
      <c r="M186" s="163">
        <f t="shared" si="100"/>
        <v>0</v>
      </c>
      <c r="N186" s="163"/>
      <c r="O186" s="166">
        <f t="shared" si="101"/>
        <v>0</v>
      </c>
      <c r="P186" s="163"/>
      <c r="Q186" s="163"/>
      <c r="R186" s="166">
        <f t="shared" si="102"/>
        <v>0</v>
      </c>
      <c r="S186" s="163"/>
      <c r="T186" s="163"/>
      <c r="U186" s="167">
        <f t="shared" si="103"/>
        <v>0</v>
      </c>
      <c r="V186" s="174" t="s">
        <v>151</v>
      </c>
      <c r="W186" s="175">
        <f>SUM(N160:N189)+SUM(Q160:Q189)+SUM(T160:T189)</f>
        <v>0</v>
      </c>
    </row>
    <row r="187" spans="1:23" ht="22.5" customHeight="1">
      <c r="A187" s="160">
        <v>45221</v>
      </c>
      <c r="B187" s="161" t="s">
        <v>147</v>
      </c>
      <c r="C187" s="162">
        <f t="shared" si="3"/>
        <v>0</v>
      </c>
      <c r="D187" s="162">
        <f t="shared" ref="D187:E187" si="193">N187+Q187+T187</f>
        <v>0</v>
      </c>
      <c r="E187" s="163">
        <f t="shared" si="193"/>
        <v>0</v>
      </c>
      <c r="F187" s="164">
        <f t="shared" si="5"/>
        <v>0</v>
      </c>
      <c r="G187" s="163"/>
      <c r="H187" s="166"/>
      <c r="I187" s="163"/>
      <c r="J187" s="163"/>
      <c r="K187" s="163"/>
      <c r="L187" s="163"/>
      <c r="M187" s="163">
        <f t="shared" si="100"/>
        <v>0</v>
      </c>
      <c r="N187" s="163"/>
      <c r="O187" s="166">
        <f t="shared" si="101"/>
        <v>0</v>
      </c>
      <c r="P187" s="163"/>
      <c r="Q187" s="163"/>
      <c r="R187" s="166">
        <f t="shared" si="102"/>
        <v>0</v>
      </c>
      <c r="S187" s="163"/>
      <c r="T187" s="163"/>
      <c r="U187" s="167">
        <f t="shared" si="103"/>
        <v>0</v>
      </c>
      <c r="V187" s="174" t="s">
        <v>152</v>
      </c>
      <c r="W187" s="175">
        <f>SUM(O160:O189)+SUM(R160:R189)+SUM(U160:U189)</f>
        <v>0</v>
      </c>
    </row>
    <row r="188" spans="1:23" ht="22.5" customHeight="1">
      <c r="A188" s="160">
        <v>45222</v>
      </c>
      <c r="B188" s="161" t="s">
        <v>148</v>
      </c>
      <c r="C188" s="162">
        <f t="shared" si="3"/>
        <v>0</v>
      </c>
      <c r="D188" s="162">
        <f t="shared" ref="D188:E188" si="194">N188+Q188+T188</f>
        <v>0</v>
      </c>
      <c r="E188" s="163">
        <f t="shared" si="194"/>
        <v>0</v>
      </c>
      <c r="F188" s="164">
        <f t="shared" si="5"/>
        <v>0</v>
      </c>
      <c r="G188" s="163"/>
      <c r="H188" s="163"/>
      <c r="I188" s="165"/>
      <c r="J188" s="163"/>
      <c r="K188" s="163"/>
      <c r="L188" s="163"/>
      <c r="M188" s="163">
        <f t="shared" si="100"/>
        <v>0</v>
      </c>
      <c r="N188" s="163"/>
      <c r="O188" s="166">
        <f t="shared" si="101"/>
        <v>0</v>
      </c>
      <c r="P188" s="163"/>
      <c r="Q188" s="163"/>
      <c r="R188" s="166">
        <f t="shared" si="102"/>
        <v>0</v>
      </c>
      <c r="S188" s="163"/>
      <c r="T188" s="163"/>
      <c r="U188" s="167">
        <f t="shared" si="103"/>
        <v>0</v>
      </c>
      <c r="V188" s="176" t="s">
        <v>153</v>
      </c>
      <c r="W188" s="177" t="e">
        <f>W185/COUNTIF(C160:C189,"&lt;&gt;0")</f>
        <v>#DIV/0!</v>
      </c>
    </row>
    <row r="189" spans="1:23" ht="22.5" customHeight="1">
      <c r="A189" s="160">
        <v>45223</v>
      </c>
      <c r="B189" s="161" t="s">
        <v>142</v>
      </c>
      <c r="C189" s="178">
        <f t="shared" si="3"/>
        <v>0</v>
      </c>
      <c r="D189" s="178">
        <f t="shared" ref="D189:E189" si="195">N189+Q189+T189</f>
        <v>0</v>
      </c>
      <c r="E189" s="179">
        <f t="shared" si="195"/>
        <v>0</v>
      </c>
      <c r="F189" s="164">
        <f t="shared" si="5"/>
        <v>0</v>
      </c>
      <c r="G189" s="184"/>
      <c r="H189" s="184"/>
      <c r="I189" s="185"/>
      <c r="J189" s="184"/>
      <c r="K189" s="184"/>
      <c r="L189" s="184"/>
      <c r="M189" s="180">
        <f t="shared" si="100"/>
        <v>0</v>
      </c>
      <c r="N189" s="184"/>
      <c r="O189" s="181">
        <f t="shared" si="101"/>
        <v>0</v>
      </c>
      <c r="P189" s="184"/>
      <c r="Q189" s="184"/>
      <c r="R189" s="181">
        <f t="shared" si="102"/>
        <v>0</v>
      </c>
      <c r="S189" s="184"/>
      <c r="T189" s="184"/>
      <c r="U189" s="182">
        <f t="shared" si="103"/>
        <v>0</v>
      </c>
      <c r="V189" s="176" t="s">
        <v>154</v>
      </c>
      <c r="W189" s="177">
        <f>W185/26</f>
        <v>0</v>
      </c>
    </row>
    <row r="190" spans="1:23" ht="22.5" customHeight="1">
      <c r="A190" s="160">
        <v>45224</v>
      </c>
      <c r="B190" s="161" t="s">
        <v>143</v>
      </c>
      <c r="C190" s="162">
        <f t="shared" si="3"/>
        <v>0</v>
      </c>
      <c r="D190" s="162">
        <f t="shared" ref="D190:E190" si="196">N190+Q190+T190</f>
        <v>0</v>
      </c>
      <c r="E190" s="163">
        <f t="shared" si="196"/>
        <v>0</v>
      </c>
      <c r="F190" s="164">
        <f t="shared" si="5"/>
        <v>0</v>
      </c>
      <c r="G190" s="163"/>
      <c r="H190" s="166"/>
      <c r="I190" s="163"/>
      <c r="J190" s="163"/>
      <c r="K190" s="163"/>
      <c r="L190" s="163"/>
      <c r="M190" s="163">
        <f t="shared" si="100"/>
        <v>0</v>
      </c>
      <c r="N190" s="163"/>
      <c r="O190" s="166">
        <f t="shared" si="101"/>
        <v>0</v>
      </c>
      <c r="P190" s="163"/>
      <c r="Q190" s="163"/>
      <c r="R190" s="166">
        <f t="shared" si="102"/>
        <v>0</v>
      </c>
      <c r="S190" s="163"/>
      <c r="T190" s="163"/>
      <c r="U190" s="167">
        <f t="shared" si="103"/>
        <v>0</v>
      </c>
      <c r="W190" s="148"/>
    </row>
    <row r="191" spans="1:23" ht="22.5" customHeight="1">
      <c r="A191" s="160">
        <v>45225</v>
      </c>
      <c r="B191" s="161" t="s">
        <v>144</v>
      </c>
      <c r="C191" s="162">
        <f t="shared" si="3"/>
        <v>0</v>
      </c>
      <c r="D191" s="162">
        <f t="shared" ref="D191:E191" si="197">N191+Q191+T191</f>
        <v>0</v>
      </c>
      <c r="E191" s="163">
        <f t="shared" si="197"/>
        <v>0</v>
      </c>
      <c r="F191" s="164">
        <f t="shared" si="5"/>
        <v>0</v>
      </c>
      <c r="G191" s="163"/>
      <c r="H191" s="166"/>
      <c r="I191" s="163"/>
      <c r="J191" s="163"/>
      <c r="K191" s="163"/>
      <c r="L191" s="163"/>
      <c r="M191" s="163">
        <f t="shared" si="100"/>
        <v>0</v>
      </c>
      <c r="N191" s="163"/>
      <c r="O191" s="166">
        <f t="shared" si="101"/>
        <v>0</v>
      </c>
      <c r="P191" s="163"/>
      <c r="Q191" s="163"/>
      <c r="R191" s="166">
        <f t="shared" si="102"/>
        <v>0</v>
      </c>
      <c r="S191" s="163"/>
      <c r="T191" s="163"/>
      <c r="U191" s="167">
        <f t="shared" si="103"/>
        <v>0</v>
      </c>
      <c r="W191" s="148"/>
    </row>
    <row r="192" spans="1:23" ht="22.5" customHeight="1">
      <c r="A192" s="160">
        <v>45226</v>
      </c>
      <c r="B192" s="161" t="s">
        <v>145</v>
      </c>
      <c r="C192" s="162">
        <f t="shared" si="3"/>
        <v>0</v>
      </c>
      <c r="D192" s="162">
        <f t="shared" ref="D192:E192" si="198">N192+Q192+T192</f>
        <v>0</v>
      </c>
      <c r="E192" s="163">
        <f t="shared" si="198"/>
        <v>0</v>
      </c>
      <c r="F192" s="164">
        <f t="shared" si="5"/>
        <v>0</v>
      </c>
      <c r="G192" s="163"/>
      <c r="H192" s="166"/>
      <c r="I192" s="163"/>
      <c r="J192" s="163"/>
      <c r="K192" s="163"/>
      <c r="L192" s="163"/>
      <c r="M192" s="163">
        <f t="shared" si="100"/>
        <v>0</v>
      </c>
      <c r="N192" s="163"/>
      <c r="O192" s="166">
        <f t="shared" si="101"/>
        <v>0</v>
      </c>
      <c r="P192" s="163"/>
      <c r="Q192" s="163"/>
      <c r="R192" s="166">
        <f t="shared" si="102"/>
        <v>0</v>
      </c>
      <c r="S192" s="163"/>
      <c r="T192" s="163"/>
      <c r="U192" s="167">
        <f t="shared" si="103"/>
        <v>0</v>
      </c>
      <c r="W192" s="148"/>
    </row>
    <row r="193" spans="1:23" ht="22.5" customHeight="1">
      <c r="A193" s="160">
        <v>45227</v>
      </c>
      <c r="B193" s="161" t="s">
        <v>146</v>
      </c>
      <c r="C193" s="162">
        <f t="shared" si="3"/>
        <v>0</v>
      </c>
      <c r="D193" s="162">
        <f t="shared" ref="D193:E193" si="199">N193+Q193+T193</f>
        <v>0</v>
      </c>
      <c r="E193" s="163">
        <f t="shared" si="199"/>
        <v>0</v>
      </c>
      <c r="F193" s="164">
        <f t="shared" si="5"/>
        <v>0</v>
      </c>
      <c r="G193" s="163"/>
      <c r="H193" s="166"/>
      <c r="I193" s="163"/>
      <c r="J193" s="163"/>
      <c r="K193" s="163"/>
      <c r="L193" s="163"/>
      <c r="M193" s="163">
        <f t="shared" si="100"/>
        <v>0</v>
      </c>
      <c r="N193" s="163"/>
      <c r="O193" s="166">
        <f t="shared" si="101"/>
        <v>0</v>
      </c>
      <c r="P193" s="163"/>
      <c r="Q193" s="163"/>
      <c r="R193" s="166">
        <f t="shared" si="102"/>
        <v>0</v>
      </c>
      <c r="S193" s="163"/>
      <c r="T193" s="163"/>
      <c r="U193" s="167">
        <f t="shared" si="103"/>
        <v>0</v>
      </c>
      <c r="W193" s="148"/>
    </row>
    <row r="194" spans="1:23" ht="22.5" customHeight="1">
      <c r="A194" s="160">
        <v>45228</v>
      </c>
      <c r="B194" s="161" t="s">
        <v>147</v>
      </c>
      <c r="C194" s="162">
        <f t="shared" si="3"/>
        <v>0</v>
      </c>
      <c r="D194" s="162">
        <f t="shared" ref="D194:E194" si="200">N194+Q194+T194</f>
        <v>0</v>
      </c>
      <c r="E194" s="163">
        <f t="shared" si="200"/>
        <v>0</v>
      </c>
      <c r="F194" s="164">
        <f t="shared" si="5"/>
        <v>0</v>
      </c>
      <c r="G194" s="163"/>
      <c r="H194" s="166"/>
      <c r="I194" s="163"/>
      <c r="J194" s="163"/>
      <c r="K194" s="163"/>
      <c r="L194" s="163"/>
      <c r="M194" s="163">
        <f t="shared" si="100"/>
        <v>0</v>
      </c>
      <c r="N194" s="163"/>
      <c r="O194" s="166">
        <f t="shared" si="101"/>
        <v>0</v>
      </c>
      <c r="P194" s="163"/>
      <c r="Q194" s="163"/>
      <c r="R194" s="166">
        <f t="shared" si="102"/>
        <v>0</v>
      </c>
      <c r="S194" s="163"/>
      <c r="T194" s="163"/>
      <c r="U194" s="167">
        <f t="shared" si="103"/>
        <v>0</v>
      </c>
    </row>
    <row r="195" spans="1:23" ht="22.5" customHeight="1">
      <c r="A195" s="160">
        <v>45229</v>
      </c>
      <c r="B195" s="161" t="s">
        <v>148</v>
      </c>
      <c r="C195" s="162">
        <f t="shared" si="3"/>
        <v>0</v>
      </c>
      <c r="D195" s="162">
        <f t="shared" ref="D195:E195" si="201">N195+Q195+T195</f>
        <v>0</v>
      </c>
      <c r="E195" s="163">
        <f t="shared" si="201"/>
        <v>0</v>
      </c>
      <c r="F195" s="164">
        <f t="shared" si="5"/>
        <v>0</v>
      </c>
      <c r="G195" s="163"/>
      <c r="H195" s="163"/>
      <c r="I195" s="165"/>
      <c r="J195" s="163"/>
      <c r="K195" s="163"/>
      <c r="L195" s="163"/>
      <c r="M195" s="163">
        <f t="shared" si="100"/>
        <v>0</v>
      </c>
      <c r="N195" s="163"/>
      <c r="O195" s="166">
        <f t="shared" si="101"/>
        <v>0</v>
      </c>
      <c r="P195" s="163"/>
      <c r="Q195" s="163"/>
      <c r="R195" s="166">
        <f t="shared" si="102"/>
        <v>0</v>
      </c>
      <c r="S195" s="163"/>
      <c r="T195" s="163"/>
      <c r="U195" s="167">
        <f t="shared" si="103"/>
        <v>0</v>
      </c>
    </row>
    <row r="196" spans="1:23" ht="22.5" customHeight="1">
      <c r="A196" s="160">
        <v>45230</v>
      </c>
      <c r="B196" s="161" t="s">
        <v>142</v>
      </c>
      <c r="C196" s="162">
        <f t="shared" si="3"/>
        <v>0</v>
      </c>
      <c r="D196" s="162">
        <f t="shared" ref="D196:E196" si="202">N196+Q196+T196</f>
        <v>0</v>
      </c>
      <c r="E196" s="163">
        <f t="shared" si="202"/>
        <v>0</v>
      </c>
      <c r="F196" s="164">
        <f t="shared" si="5"/>
        <v>0</v>
      </c>
      <c r="G196" s="163"/>
      <c r="H196" s="166"/>
      <c r="I196" s="163"/>
      <c r="J196" s="163"/>
      <c r="K196" s="163"/>
      <c r="L196" s="163"/>
      <c r="M196" s="163">
        <f t="shared" si="100"/>
        <v>0</v>
      </c>
      <c r="N196" s="163"/>
      <c r="O196" s="166">
        <f t="shared" si="101"/>
        <v>0</v>
      </c>
      <c r="P196" s="163"/>
      <c r="Q196" s="163"/>
      <c r="R196" s="166">
        <f t="shared" si="102"/>
        <v>0</v>
      </c>
      <c r="S196" s="163"/>
      <c r="T196" s="163"/>
      <c r="U196" s="167">
        <f t="shared" si="103"/>
        <v>0</v>
      </c>
    </row>
    <row r="197" spans="1:23" ht="22.5" customHeight="1">
      <c r="A197" s="160">
        <v>45231</v>
      </c>
      <c r="B197" s="161" t="s">
        <v>143</v>
      </c>
      <c r="C197" s="162">
        <f t="shared" si="3"/>
        <v>0</v>
      </c>
      <c r="D197" s="162">
        <f t="shared" ref="D197:E197" si="203">N197+Q197+T197</f>
        <v>0</v>
      </c>
      <c r="E197" s="163">
        <f t="shared" si="203"/>
        <v>0</v>
      </c>
      <c r="F197" s="164">
        <f t="shared" si="5"/>
        <v>0</v>
      </c>
      <c r="G197" s="163"/>
      <c r="H197" s="166"/>
      <c r="I197" s="163"/>
      <c r="J197" s="163"/>
      <c r="K197" s="163"/>
      <c r="L197" s="163"/>
      <c r="M197" s="163">
        <f t="shared" si="100"/>
        <v>0</v>
      </c>
      <c r="N197" s="163"/>
      <c r="O197" s="166">
        <f t="shared" si="101"/>
        <v>0</v>
      </c>
      <c r="P197" s="163"/>
      <c r="Q197" s="163"/>
      <c r="R197" s="166">
        <f t="shared" si="102"/>
        <v>0</v>
      </c>
      <c r="S197" s="163"/>
      <c r="T197" s="163"/>
      <c r="U197" s="167">
        <f t="shared" si="103"/>
        <v>0</v>
      </c>
      <c r="W197" s="148"/>
    </row>
    <row r="198" spans="1:23" ht="22.5" customHeight="1">
      <c r="A198" s="160">
        <v>45232</v>
      </c>
      <c r="B198" s="161" t="s">
        <v>144</v>
      </c>
      <c r="C198" s="162">
        <f t="shared" si="3"/>
        <v>0</v>
      </c>
      <c r="D198" s="162">
        <f t="shared" ref="D198:E198" si="204">N198+Q198+T198</f>
        <v>0</v>
      </c>
      <c r="E198" s="163">
        <f t="shared" si="204"/>
        <v>0</v>
      </c>
      <c r="F198" s="164">
        <f t="shared" si="5"/>
        <v>0</v>
      </c>
      <c r="G198" s="163"/>
      <c r="H198" s="166"/>
      <c r="I198" s="163"/>
      <c r="J198" s="163"/>
      <c r="K198" s="163"/>
      <c r="L198" s="163"/>
      <c r="M198" s="163">
        <f t="shared" si="100"/>
        <v>0</v>
      </c>
      <c r="N198" s="163"/>
      <c r="O198" s="166">
        <f t="shared" si="101"/>
        <v>0</v>
      </c>
      <c r="P198" s="163"/>
      <c r="Q198" s="163"/>
      <c r="R198" s="166">
        <f t="shared" si="102"/>
        <v>0</v>
      </c>
      <c r="S198" s="163"/>
      <c r="T198" s="163"/>
      <c r="U198" s="167">
        <f t="shared" si="103"/>
        <v>0</v>
      </c>
      <c r="W198" s="148"/>
    </row>
    <row r="199" spans="1:23" ht="22.5" customHeight="1">
      <c r="A199" s="160">
        <v>45233</v>
      </c>
      <c r="B199" s="161" t="s">
        <v>145</v>
      </c>
      <c r="C199" s="162">
        <f t="shared" si="3"/>
        <v>0</v>
      </c>
      <c r="D199" s="162">
        <f t="shared" ref="D199:E199" si="205">N199+Q199+T199</f>
        <v>0</v>
      </c>
      <c r="E199" s="163">
        <f t="shared" si="205"/>
        <v>0</v>
      </c>
      <c r="F199" s="164">
        <f t="shared" si="5"/>
        <v>0</v>
      </c>
      <c r="G199" s="163"/>
      <c r="H199" s="166"/>
      <c r="I199" s="163"/>
      <c r="J199" s="163"/>
      <c r="K199" s="163"/>
      <c r="L199" s="163"/>
      <c r="M199" s="163">
        <f t="shared" si="100"/>
        <v>0</v>
      </c>
      <c r="N199" s="163"/>
      <c r="O199" s="166">
        <f t="shared" si="101"/>
        <v>0</v>
      </c>
      <c r="P199" s="163"/>
      <c r="Q199" s="163"/>
      <c r="R199" s="166">
        <f t="shared" si="102"/>
        <v>0</v>
      </c>
      <c r="S199" s="163"/>
      <c r="T199" s="163"/>
      <c r="U199" s="167">
        <f t="shared" si="103"/>
        <v>0</v>
      </c>
      <c r="W199" s="148"/>
    </row>
    <row r="200" spans="1:23" ht="22.5" customHeight="1">
      <c r="A200" s="160">
        <v>45234</v>
      </c>
      <c r="B200" s="161" t="s">
        <v>146</v>
      </c>
      <c r="C200" s="162">
        <f t="shared" si="3"/>
        <v>0</v>
      </c>
      <c r="D200" s="162">
        <f t="shared" ref="D200:E200" si="206">N200+Q200+T200</f>
        <v>0</v>
      </c>
      <c r="E200" s="163">
        <f t="shared" si="206"/>
        <v>0</v>
      </c>
      <c r="F200" s="164">
        <f t="shared" si="5"/>
        <v>0</v>
      </c>
      <c r="G200" s="163"/>
      <c r="H200" s="166"/>
      <c r="I200" s="163"/>
      <c r="J200" s="163"/>
      <c r="K200" s="163"/>
      <c r="L200" s="163"/>
      <c r="M200" s="163">
        <f t="shared" si="100"/>
        <v>0</v>
      </c>
      <c r="N200" s="163"/>
      <c r="O200" s="166">
        <f t="shared" si="101"/>
        <v>0</v>
      </c>
      <c r="P200" s="163"/>
      <c r="Q200" s="163"/>
      <c r="R200" s="166">
        <f t="shared" si="102"/>
        <v>0</v>
      </c>
      <c r="S200" s="163"/>
      <c r="T200" s="163"/>
      <c r="U200" s="167">
        <f t="shared" si="103"/>
        <v>0</v>
      </c>
      <c r="W200" s="148"/>
    </row>
    <row r="201" spans="1:23" ht="22.5" customHeight="1">
      <c r="A201" s="160">
        <v>45235</v>
      </c>
      <c r="B201" s="161" t="s">
        <v>147</v>
      </c>
      <c r="C201" s="162">
        <f t="shared" si="3"/>
        <v>0</v>
      </c>
      <c r="D201" s="162">
        <f t="shared" ref="D201:E201" si="207">N201+Q201+T201</f>
        <v>0</v>
      </c>
      <c r="E201" s="163">
        <f t="shared" si="207"/>
        <v>0</v>
      </c>
      <c r="F201" s="164">
        <f t="shared" si="5"/>
        <v>0</v>
      </c>
      <c r="G201" s="163"/>
      <c r="H201" s="166"/>
      <c r="I201" s="163"/>
      <c r="J201" s="163"/>
      <c r="K201" s="163"/>
      <c r="L201" s="163"/>
      <c r="M201" s="163">
        <f t="shared" si="100"/>
        <v>0</v>
      </c>
      <c r="N201" s="163"/>
      <c r="O201" s="166">
        <f t="shared" si="101"/>
        <v>0</v>
      </c>
      <c r="P201" s="163"/>
      <c r="Q201" s="163"/>
      <c r="R201" s="166">
        <f t="shared" si="102"/>
        <v>0</v>
      </c>
      <c r="S201" s="163"/>
      <c r="T201" s="163"/>
      <c r="U201" s="167">
        <f t="shared" si="103"/>
        <v>0</v>
      </c>
      <c r="W201" s="148"/>
    </row>
    <row r="202" spans="1:23" ht="22.5" customHeight="1">
      <c r="A202" s="160">
        <v>45236</v>
      </c>
      <c r="B202" s="161" t="s">
        <v>148</v>
      </c>
      <c r="C202" s="162">
        <f t="shared" si="3"/>
        <v>0</v>
      </c>
      <c r="D202" s="162">
        <f t="shared" ref="D202:E202" si="208">N202+Q202+T202</f>
        <v>0</v>
      </c>
      <c r="E202" s="163">
        <f t="shared" si="208"/>
        <v>0</v>
      </c>
      <c r="F202" s="164">
        <f t="shared" si="5"/>
        <v>0</v>
      </c>
      <c r="G202" s="163"/>
      <c r="H202" s="163"/>
      <c r="I202" s="165"/>
      <c r="J202" s="163"/>
      <c r="K202" s="163"/>
      <c r="L202" s="163"/>
      <c r="M202" s="163">
        <f t="shared" si="100"/>
        <v>0</v>
      </c>
      <c r="N202" s="163"/>
      <c r="O202" s="166">
        <f t="shared" si="101"/>
        <v>0</v>
      </c>
      <c r="P202" s="163"/>
      <c r="Q202" s="163"/>
      <c r="R202" s="166">
        <f t="shared" si="102"/>
        <v>0</v>
      </c>
      <c r="S202" s="163"/>
      <c r="T202" s="163"/>
      <c r="U202" s="167">
        <f t="shared" si="103"/>
        <v>0</v>
      </c>
      <c r="W202" s="148"/>
    </row>
    <row r="203" spans="1:23" ht="22.5" customHeight="1">
      <c r="A203" s="160">
        <v>45237</v>
      </c>
      <c r="B203" s="161" t="s">
        <v>142</v>
      </c>
      <c r="C203" s="162">
        <f t="shared" si="3"/>
        <v>0</v>
      </c>
      <c r="D203" s="162">
        <f t="shared" ref="D203:E203" si="209">N203+Q203+T203</f>
        <v>0</v>
      </c>
      <c r="E203" s="163">
        <f t="shared" si="209"/>
        <v>0</v>
      </c>
      <c r="F203" s="164">
        <f t="shared" si="5"/>
        <v>0</v>
      </c>
      <c r="G203" s="163"/>
      <c r="H203" s="166"/>
      <c r="I203" s="163"/>
      <c r="J203" s="163"/>
      <c r="K203" s="163"/>
      <c r="L203" s="163"/>
      <c r="M203" s="163">
        <f t="shared" si="100"/>
        <v>0</v>
      </c>
      <c r="N203" s="163"/>
      <c r="O203" s="166">
        <f t="shared" si="101"/>
        <v>0</v>
      </c>
      <c r="P203" s="163"/>
      <c r="Q203" s="163"/>
      <c r="R203" s="166">
        <f t="shared" si="102"/>
        <v>0</v>
      </c>
      <c r="S203" s="163"/>
      <c r="T203" s="163"/>
      <c r="U203" s="167">
        <f t="shared" si="103"/>
        <v>0</v>
      </c>
      <c r="W203" s="148"/>
    </row>
    <row r="204" spans="1:23" ht="22.5" customHeight="1">
      <c r="A204" s="160">
        <v>45238</v>
      </c>
      <c r="B204" s="161" t="s">
        <v>143</v>
      </c>
      <c r="C204" s="162">
        <f t="shared" si="3"/>
        <v>0</v>
      </c>
      <c r="D204" s="162">
        <f t="shared" ref="D204:E204" si="210">N204+Q204+T204</f>
        <v>0</v>
      </c>
      <c r="E204" s="163">
        <f t="shared" si="210"/>
        <v>0</v>
      </c>
      <c r="F204" s="164">
        <f t="shared" si="5"/>
        <v>0</v>
      </c>
      <c r="G204" s="163"/>
      <c r="H204" s="166"/>
      <c r="I204" s="163"/>
      <c r="J204" s="163"/>
      <c r="K204" s="163"/>
      <c r="L204" s="163"/>
      <c r="M204" s="163">
        <f t="shared" si="100"/>
        <v>0</v>
      </c>
      <c r="N204" s="163"/>
      <c r="O204" s="166">
        <f t="shared" si="101"/>
        <v>0</v>
      </c>
      <c r="P204" s="163"/>
      <c r="Q204" s="163"/>
      <c r="R204" s="166">
        <f t="shared" si="102"/>
        <v>0</v>
      </c>
      <c r="S204" s="163"/>
      <c r="T204" s="163"/>
      <c r="U204" s="167">
        <f t="shared" si="103"/>
        <v>0</v>
      </c>
      <c r="W204" s="148"/>
    </row>
    <row r="205" spans="1:23" ht="22.5" customHeight="1">
      <c r="A205" s="160">
        <v>45239</v>
      </c>
      <c r="B205" s="161" t="s">
        <v>144</v>
      </c>
      <c r="C205" s="162">
        <f t="shared" si="3"/>
        <v>0</v>
      </c>
      <c r="D205" s="162">
        <f t="shared" ref="D205:E205" si="211">N205+Q205+T205</f>
        <v>0</v>
      </c>
      <c r="E205" s="163">
        <f t="shared" si="211"/>
        <v>0</v>
      </c>
      <c r="F205" s="164">
        <f t="shared" si="5"/>
        <v>0</v>
      </c>
      <c r="G205" s="163"/>
      <c r="H205" s="166"/>
      <c r="I205" s="163"/>
      <c r="J205" s="163"/>
      <c r="K205" s="163"/>
      <c r="L205" s="163"/>
      <c r="M205" s="163">
        <f t="shared" si="100"/>
        <v>0</v>
      </c>
      <c r="N205" s="163"/>
      <c r="O205" s="166">
        <f t="shared" si="101"/>
        <v>0</v>
      </c>
      <c r="P205" s="163"/>
      <c r="Q205" s="163"/>
      <c r="R205" s="166">
        <f t="shared" si="102"/>
        <v>0</v>
      </c>
      <c r="S205" s="163"/>
      <c r="T205" s="163"/>
      <c r="U205" s="167">
        <f t="shared" si="103"/>
        <v>0</v>
      </c>
      <c r="W205" s="148"/>
    </row>
    <row r="206" spans="1:23" ht="22.5" customHeight="1">
      <c r="A206" s="160">
        <v>45240</v>
      </c>
      <c r="B206" s="161" t="s">
        <v>145</v>
      </c>
      <c r="C206" s="162">
        <f t="shared" si="3"/>
        <v>0</v>
      </c>
      <c r="D206" s="162">
        <f t="shared" ref="D206:E206" si="212">N206+Q206+T206</f>
        <v>0</v>
      </c>
      <c r="E206" s="163">
        <f t="shared" si="212"/>
        <v>0</v>
      </c>
      <c r="F206" s="164">
        <f t="shared" si="5"/>
        <v>0</v>
      </c>
      <c r="G206" s="163"/>
      <c r="H206" s="166"/>
      <c r="I206" s="163"/>
      <c r="J206" s="163"/>
      <c r="K206" s="163"/>
      <c r="L206" s="163"/>
      <c r="M206" s="163">
        <f t="shared" si="100"/>
        <v>0</v>
      </c>
      <c r="N206" s="163"/>
      <c r="O206" s="166">
        <f t="shared" si="101"/>
        <v>0</v>
      </c>
      <c r="P206" s="163"/>
      <c r="Q206" s="163"/>
      <c r="R206" s="166">
        <f t="shared" si="102"/>
        <v>0</v>
      </c>
      <c r="S206" s="163"/>
      <c r="T206" s="163"/>
      <c r="U206" s="167">
        <f t="shared" si="103"/>
        <v>0</v>
      </c>
      <c r="W206" s="148"/>
    </row>
    <row r="207" spans="1:23" ht="22.5" customHeight="1">
      <c r="A207" s="160">
        <v>45241</v>
      </c>
      <c r="B207" s="161" t="s">
        <v>146</v>
      </c>
      <c r="C207" s="162">
        <f t="shared" si="3"/>
        <v>0</v>
      </c>
      <c r="D207" s="162">
        <f t="shared" ref="D207:E207" si="213">N207+Q207+T207</f>
        <v>0</v>
      </c>
      <c r="E207" s="163">
        <f t="shared" si="213"/>
        <v>0</v>
      </c>
      <c r="F207" s="164">
        <f t="shared" si="5"/>
        <v>0</v>
      </c>
      <c r="G207" s="163"/>
      <c r="H207" s="166"/>
      <c r="I207" s="163"/>
      <c r="J207" s="163"/>
      <c r="K207" s="163"/>
      <c r="L207" s="163"/>
      <c r="M207" s="163">
        <f t="shared" si="100"/>
        <v>0</v>
      </c>
      <c r="N207" s="163"/>
      <c r="O207" s="166">
        <f t="shared" si="101"/>
        <v>0</v>
      </c>
      <c r="P207" s="163"/>
      <c r="Q207" s="163"/>
      <c r="R207" s="166">
        <f t="shared" si="102"/>
        <v>0</v>
      </c>
      <c r="S207" s="163"/>
      <c r="T207" s="163"/>
      <c r="U207" s="167">
        <f t="shared" si="103"/>
        <v>0</v>
      </c>
      <c r="W207" s="148"/>
    </row>
    <row r="208" spans="1:23" ht="22.5" customHeight="1">
      <c r="A208" s="160">
        <v>45242</v>
      </c>
      <c r="B208" s="161" t="s">
        <v>147</v>
      </c>
      <c r="C208" s="162">
        <f t="shared" si="3"/>
        <v>0</v>
      </c>
      <c r="D208" s="162">
        <f t="shared" ref="D208:E208" si="214">N208+Q208+T208</f>
        <v>0</v>
      </c>
      <c r="E208" s="163">
        <f t="shared" si="214"/>
        <v>0</v>
      </c>
      <c r="F208" s="164">
        <f t="shared" si="5"/>
        <v>0</v>
      </c>
      <c r="G208" s="163"/>
      <c r="H208" s="166"/>
      <c r="I208" s="163"/>
      <c r="J208" s="163"/>
      <c r="K208" s="163"/>
      <c r="L208" s="163"/>
      <c r="M208" s="163">
        <f t="shared" si="100"/>
        <v>0</v>
      </c>
      <c r="N208" s="163"/>
      <c r="O208" s="166">
        <f t="shared" si="101"/>
        <v>0</v>
      </c>
      <c r="P208" s="163"/>
      <c r="Q208" s="163"/>
      <c r="R208" s="166">
        <f t="shared" si="102"/>
        <v>0</v>
      </c>
      <c r="S208" s="163"/>
      <c r="T208" s="163"/>
      <c r="U208" s="167">
        <f t="shared" si="103"/>
        <v>0</v>
      </c>
      <c r="W208" s="148"/>
    </row>
    <row r="209" spans="1:26" ht="22.5" customHeight="1">
      <c r="A209" s="160">
        <v>45243</v>
      </c>
      <c r="B209" s="161" t="s">
        <v>148</v>
      </c>
      <c r="C209" s="162">
        <f t="shared" si="3"/>
        <v>0</v>
      </c>
      <c r="D209" s="162">
        <f t="shared" ref="D209:E209" si="215">N209+Q209+T209</f>
        <v>0</v>
      </c>
      <c r="E209" s="163">
        <f t="shared" si="215"/>
        <v>0</v>
      </c>
      <c r="F209" s="164">
        <f t="shared" si="5"/>
        <v>0</v>
      </c>
      <c r="G209" s="163"/>
      <c r="H209" s="163"/>
      <c r="I209" s="165"/>
      <c r="J209" s="163"/>
      <c r="K209" s="163"/>
      <c r="L209" s="163"/>
      <c r="M209" s="163">
        <f t="shared" si="100"/>
        <v>0</v>
      </c>
      <c r="N209" s="163"/>
      <c r="O209" s="166">
        <f t="shared" si="101"/>
        <v>0</v>
      </c>
      <c r="P209" s="163"/>
      <c r="Q209" s="163"/>
      <c r="R209" s="166">
        <f t="shared" si="102"/>
        <v>0</v>
      </c>
      <c r="S209" s="163"/>
      <c r="T209" s="163"/>
      <c r="U209" s="167">
        <f t="shared" si="103"/>
        <v>0</v>
      </c>
      <c r="W209" s="148"/>
    </row>
    <row r="210" spans="1:26" ht="22.5" customHeight="1">
      <c r="A210" s="160">
        <v>45244</v>
      </c>
      <c r="B210" s="161" t="s">
        <v>142</v>
      </c>
      <c r="C210" s="162">
        <f t="shared" si="3"/>
        <v>0</v>
      </c>
      <c r="D210" s="162">
        <f t="shared" ref="D210:E210" si="216">N210+Q210+T210</f>
        <v>0</v>
      </c>
      <c r="E210" s="163">
        <f t="shared" si="216"/>
        <v>0</v>
      </c>
      <c r="F210" s="164">
        <f t="shared" si="5"/>
        <v>0</v>
      </c>
      <c r="G210" s="163"/>
      <c r="H210" s="166"/>
      <c r="I210" s="163"/>
      <c r="J210" s="163"/>
      <c r="K210" s="163"/>
      <c r="L210" s="163"/>
      <c r="M210" s="163">
        <f t="shared" si="100"/>
        <v>0</v>
      </c>
      <c r="N210" s="163"/>
      <c r="O210" s="166">
        <f t="shared" si="101"/>
        <v>0</v>
      </c>
      <c r="P210" s="163"/>
      <c r="Q210" s="163"/>
      <c r="R210" s="166">
        <f t="shared" si="102"/>
        <v>0</v>
      </c>
      <c r="S210" s="163"/>
      <c r="T210" s="163"/>
      <c r="U210" s="167">
        <f t="shared" si="103"/>
        <v>0</v>
      </c>
      <c r="W210" s="148"/>
    </row>
    <row r="211" spans="1:26" ht="22.5" customHeight="1">
      <c r="A211" s="160">
        <v>45245</v>
      </c>
      <c r="B211" s="161" t="s">
        <v>143</v>
      </c>
      <c r="C211" s="162">
        <f t="shared" si="3"/>
        <v>0</v>
      </c>
      <c r="D211" s="162">
        <f t="shared" ref="D211:E211" si="217">N211+Q211+T211</f>
        <v>0</v>
      </c>
      <c r="E211" s="163">
        <f t="shared" si="217"/>
        <v>0</v>
      </c>
      <c r="F211" s="164">
        <f t="shared" si="5"/>
        <v>0</v>
      </c>
      <c r="G211" s="163"/>
      <c r="H211" s="166"/>
      <c r="I211" s="163"/>
      <c r="J211" s="163"/>
      <c r="K211" s="163"/>
      <c r="L211" s="163"/>
      <c r="M211" s="163">
        <f t="shared" si="100"/>
        <v>0</v>
      </c>
      <c r="N211" s="163"/>
      <c r="O211" s="166">
        <f t="shared" si="101"/>
        <v>0</v>
      </c>
      <c r="P211" s="163"/>
      <c r="Q211" s="163"/>
      <c r="R211" s="166">
        <f t="shared" si="102"/>
        <v>0</v>
      </c>
      <c r="S211" s="163"/>
      <c r="T211" s="163"/>
      <c r="U211" s="167">
        <f t="shared" si="103"/>
        <v>0</v>
      </c>
      <c r="W211" s="148"/>
    </row>
    <row r="212" spans="1:26" ht="22.5" customHeight="1">
      <c r="A212" s="160">
        <v>45246</v>
      </c>
      <c r="B212" s="161" t="s">
        <v>144</v>
      </c>
      <c r="C212" s="162">
        <f t="shared" si="3"/>
        <v>0</v>
      </c>
      <c r="D212" s="162">
        <f t="shared" ref="D212:E212" si="218">N212+Q212+T212</f>
        <v>0</v>
      </c>
      <c r="E212" s="163">
        <f t="shared" si="218"/>
        <v>0</v>
      </c>
      <c r="F212" s="164">
        <f t="shared" si="5"/>
        <v>0</v>
      </c>
      <c r="G212" s="163"/>
      <c r="H212" s="166"/>
      <c r="I212" s="163"/>
      <c r="J212" s="163"/>
      <c r="K212" s="163"/>
      <c r="L212" s="163"/>
      <c r="M212" s="163">
        <f t="shared" si="100"/>
        <v>0</v>
      </c>
      <c r="N212" s="163"/>
      <c r="O212" s="166">
        <f t="shared" si="101"/>
        <v>0</v>
      </c>
      <c r="P212" s="163"/>
      <c r="Q212" s="163"/>
      <c r="R212" s="166">
        <f t="shared" si="102"/>
        <v>0</v>
      </c>
      <c r="S212" s="163"/>
      <c r="T212" s="163"/>
      <c r="U212" s="167">
        <f t="shared" si="103"/>
        <v>0</v>
      </c>
      <c r="W212" s="148"/>
    </row>
    <row r="213" spans="1:26" ht="22.5" customHeight="1">
      <c r="A213" s="160">
        <v>45247</v>
      </c>
      <c r="B213" s="161" t="s">
        <v>145</v>
      </c>
      <c r="C213" s="162">
        <f t="shared" si="3"/>
        <v>0</v>
      </c>
      <c r="D213" s="162">
        <f t="shared" ref="D213:E213" si="219">N213+Q213+T213</f>
        <v>0</v>
      </c>
      <c r="E213" s="163">
        <f t="shared" si="219"/>
        <v>0</v>
      </c>
      <c r="F213" s="164">
        <f t="shared" si="5"/>
        <v>0</v>
      </c>
      <c r="G213" s="163"/>
      <c r="H213" s="166"/>
      <c r="I213" s="163"/>
      <c r="J213" s="163"/>
      <c r="K213" s="163"/>
      <c r="L213" s="163"/>
      <c r="M213" s="163">
        <f t="shared" si="100"/>
        <v>0</v>
      </c>
      <c r="N213" s="163"/>
      <c r="O213" s="166">
        <f t="shared" si="101"/>
        <v>0</v>
      </c>
      <c r="P213" s="163"/>
      <c r="Q213" s="163"/>
      <c r="R213" s="166">
        <f t="shared" si="102"/>
        <v>0</v>
      </c>
      <c r="S213" s="163"/>
      <c r="T213" s="163"/>
      <c r="U213" s="167">
        <f t="shared" si="103"/>
        <v>0</v>
      </c>
      <c r="W213" s="148"/>
    </row>
    <row r="214" spans="1:26" ht="22.5" customHeight="1">
      <c r="A214" s="160">
        <v>45248</v>
      </c>
      <c r="B214" s="161" t="s">
        <v>146</v>
      </c>
      <c r="C214" s="162">
        <f t="shared" si="3"/>
        <v>0</v>
      </c>
      <c r="D214" s="162">
        <f t="shared" ref="D214:E214" si="220">N214+Q214+T214</f>
        <v>0</v>
      </c>
      <c r="E214" s="163">
        <f t="shared" si="220"/>
        <v>0</v>
      </c>
      <c r="F214" s="164">
        <f t="shared" si="5"/>
        <v>0</v>
      </c>
      <c r="G214" s="163"/>
      <c r="H214" s="166"/>
      <c r="I214" s="163"/>
      <c r="J214" s="163"/>
      <c r="K214" s="163"/>
      <c r="L214" s="163"/>
      <c r="M214" s="163">
        <f t="shared" si="100"/>
        <v>0</v>
      </c>
      <c r="N214" s="163"/>
      <c r="O214" s="166">
        <f t="shared" si="101"/>
        <v>0</v>
      </c>
      <c r="P214" s="163"/>
      <c r="Q214" s="163"/>
      <c r="R214" s="166">
        <f t="shared" si="102"/>
        <v>0</v>
      </c>
      <c r="S214" s="163"/>
      <c r="T214" s="163"/>
      <c r="U214" s="167">
        <f t="shared" si="103"/>
        <v>0</v>
      </c>
      <c r="W214" s="148"/>
    </row>
    <row r="215" spans="1:26" ht="22.5" customHeight="1">
      <c r="A215" s="160">
        <v>45249</v>
      </c>
      <c r="B215" s="161" t="s">
        <v>147</v>
      </c>
      <c r="C215" s="162">
        <f t="shared" si="3"/>
        <v>0</v>
      </c>
      <c r="D215" s="162">
        <f t="shared" ref="D215:E215" si="221">N215+Q215+T215</f>
        <v>0</v>
      </c>
      <c r="E215" s="163">
        <f t="shared" si="221"/>
        <v>0</v>
      </c>
      <c r="F215" s="164">
        <f t="shared" si="5"/>
        <v>0</v>
      </c>
      <c r="G215" s="163"/>
      <c r="H215" s="166"/>
      <c r="I215" s="163"/>
      <c r="J215" s="163"/>
      <c r="K215" s="163"/>
      <c r="L215" s="163"/>
      <c r="M215" s="163">
        <f t="shared" si="100"/>
        <v>0</v>
      </c>
      <c r="N215" s="163"/>
      <c r="O215" s="166">
        <f t="shared" si="101"/>
        <v>0</v>
      </c>
      <c r="P215" s="163"/>
      <c r="Q215" s="163"/>
      <c r="R215" s="166">
        <f t="shared" si="102"/>
        <v>0</v>
      </c>
      <c r="S215" s="163"/>
      <c r="T215" s="163"/>
      <c r="U215" s="167">
        <f t="shared" si="103"/>
        <v>0</v>
      </c>
      <c r="V215" s="174" t="s">
        <v>149</v>
      </c>
      <c r="W215" s="175">
        <f>PRESUPUESTO!Y27</f>
        <v>97172.221082635282</v>
      </c>
    </row>
    <row r="216" spans="1:26" ht="22.5" customHeight="1">
      <c r="A216" s="160">
        <v>45250</v>
      </c>
      <c r="B216" s="161" t="s">
        <v>148</v>
      </c>
      <c r="C216" s="162">
        <f t="shared" si="3"/>
        <v>0</v>
      </c>
      <c r="D216" s="162">
        <f t="shared" ref="D216:E216" si="222">N216+Q216+T216</f>
        <v>0</v>
      </c>
      <c r="E216" s="163">
        <f t="shared" si="222"/>
        <v>0</v>
      </c>
      <c r="F216" s="164">
        <f t="shared" si="5"/>
        <v>0</v>
      </c>
      <c r="G216" s="163"/>
      <c r="H216" s="163"/>
      <c r="I216" s="165"/>
      <c r="J216" s="163"/>
      <c r="K216" s="163"/>
      <c r="L216" s="163"/>
      <c r="M216" s="163">
        <f t="shared" si="100"/>
        <v>0</v>
      </c>
      <c r="N216" s="163"/>
      <c r="O216" s="166">
        <f t="shared" si="101"/>
        <v>0</v>
      </c>
      <c r="P216" s="163"/>
      <c r="Q216" s="163"/>
      <c r="R216" s="166">
        <f t="shared" si="102"/>
        <v>0</v>
      </c>
      <c r="S216" s="163"/>
      <c r="T216" s="163"/>
      <c r="U216" s="167">
        <f t="shared" si="103"/>
        <v>0</v>
      </c>
      <c r="V216" s="174" t="s">
        <v>150</v>
      </c>
      <c r="W216" s="175">
        <f>SUBTOTAL(9,C190:C220)</f>
        <v>0</v>
      </c>
    </row>
    <row r="217" spans="1:26" ht="22.5" customHeight="1">
      <c r="A217" s="160">
        <v>45251</v>
      </c>
      <c r="B217" s="161" t="s">
        <v>142</v>
      </c>
      <c r="C217" s="162">
        <f t="shared" si="3"/>
        <v>0</v>
      </c>
      <c r="D217" s="162">
        <f t="shared" ref="D217:E217" si="223">N217+Q217+T217</f>
        <v>0</v>
      </c>
      <c r="E217" s="163">
        <f t="shared" si="223"/>
        <v>0</v>
      </c>
      <c r="F217" s="164">
        <f t="shared" si="5"/>
        <v>0</v>
      </c>
      <c r="G217" s="163"/>
      <c r="H217" s="166"/>
      <c r="I217" s="163"/>
      <c r="J217" s="163"/>
      <c r="K217" s="163"/>
      <c r="L217" s="163"/>
      <c r="M217" s="163">
        <f t="shared" si="100"/>
        <v>0</v>
      </c>
      <c r="N217" s="163"/>
      <c r="O217" s="166">
        <f t="shared" si="101"/>
        <v>0</v>
      </c>
      <c r="P217" s="163"/>
      <c r="Q217" s="163"/>
      <c r="R217" s="166">
        <f t="shared" si="102"/>
        <v>0</v>
      </c>
      <c r="S217" s="163"/>
      <c r="T217" s="163"/>
      <c r="U217" s="167">
        <f t="shared" si="103"/>
        <v>0</v>
      </c>
      <c r="V217" s="174" t="s">
        <v>151</v>
      </c>
      <c r="W217" s="175">
        <f>SUM(N190:N220)+SUM(Q190:Q220)+SUM(T190:T220)</f>
        <v>0</v>
      </c>
    </row>
    <row r="218" spans="1:26" ht="22.5" customHeight="1">
      <c r="A218" s="160">
        <v>45252</v>
      </c>
      <c r="B218" s="161" t="s">
        <v>143</v>
      </c>
      <c r="C218" s="162">
        <f t="shared" si="3"/>
        <v>0</v>
      </c>
      <c r="D218" s="162">
        <f t="shared" ref="D218:E218" si="224">N218+Q218+T218</f>
        <v>0</v>
      </c>
      <c r="E218" s="163">
        <f t="shared" si="224"/>
        <v>0</v>
      </c>
      <c r="F218" s="164">
        <f t="shared" si="5"/>
        <v>0</v>
      </c>
      <c r="G218" s="163"/>
      <c r="H218" s="166"/>
      <c r="I218" s="163"/>
      <c r="J218" s="163"/>
      <c r="K218" s="163"/>
      <c r="L218" s="163"/>
      <c r="M218" s="163">
        <f t="shared" si="100"/>
        <v>0</v>
      </c>
      <c r="N218" s="163"/>
      <c r="O218" s="166">
        <f t="shared" si="101"/>
        <v>0</v>
      </c>
      <c r="P218" s="163"/>
      <c r="Q218" s="163"/>
      <c r="R218" s="166">
        <f t="shared" si="102"/>
        <v>0</v>
      </c>
      <c r="S218" s="163"/>
      <c r="T218" s="163"/>
      <c r="U218" s="167">
        <f t="shared" si="103"/>
        <v>0</v>
      </c>
      <c r="V218" s="174" t="s">
        <v>152</v>
      </c>
      <c r="W218" s="175">
        <f>SUM(O190:O220)+SUM(R190:R220)+SUM(U190:U220)</f>
        <v>0</v>
      </c>
    </row>
    <row r="219" spans="1:26" ht="22.5" customHeight="1">
      <c r="A219" s="160">
        <v>45253</v>
      </c>
      <c r="B219" s="161" t="s">
        <v>144</v>
      </c>
      <c r="C219" s="162">
        <f t="shared" si="3"/>
        <v>0</v>
      </c>
      <c r="D219" s="162">
        <f t="shared" ref="D219:E219" si="225">N219+Q219+T219</f>
        <v>0</v>
      </c>
      <c r="E219" s="163">
        <f t="shared" si="225"/>
        <v>0</v>
      </c>
      <c r="F219" s="164">
        <f t="shared" si="5"/>
        <v>0</v>
      </c>
      <c r="G219" s="163"/>
      <c r="H219" s="166"/>
      <c r="I219" s="163"/>
      <c r="J219" s="163"/>
      <c r="K219" s="163"/>
      <c r="L219" s="163"/>
      <c r="M219" s="163">
        <f t="shared" si="100"/>
        <v>0</v>
      </c>
      <c r="N219" s="163"/>
      <c r="O219" s="166">
        <f t="shared" si="101"/>
        <v>0</v>
      </c>
      <c r="P219" s="163"/>
      <c r="Q219" s="163"/>
      <c r="R219" s="166">
        <f t="shared" si="102"/>
        <v>0</v>
      </c>
      <c r="S219" s="163"/>
      <c r="T219" s="163"/>
      <c r="U219" s="167">
        <f t="shared" si="103"/>
        <v>0</v>
      </c>
      <c r="V219" s="176" t="s">
        <v>153</v>
      </c>
      <c r="W219" s="177" t="e">
        <f>W216/COUNTIF(C190:C220,"&lt;&gt;0")</f>
        <v>#DIV/0!</v>
      </c>
    </row>
    <row r="220" spans="1:26" ht="22.5" customHeight="1">
      <c r="A220" s="160">
        <v>45254</v>
      </c>
      <c r="B220" s="161" t="s">
        <v>145</v>
      </c>
      <c r="C220" s="178">
        <f t="shared" si="3"/>
        <v>0</v>
      </c>
      <c r="D220" s="178">
        <f t="shared" ref="D220:E220" si="226">N220+Q220+T220</f>
        <v>0</v>
      </c>
      <c r="E220" s="179">
        <f t="shared" si="226"/>
        <v>0</v>
      </c>
      <c r="F220" s="164">
        <f t="shared" si="5"/>
        <v>0</v>
      </c>
      <c r="G220" s="184"/>
      <c r="H220" s="184"/>
      <c r="I220" s="185"/>
      <c r="J220" s="184"/>
      <c r="K220" s="184"/>
      <c r="L220" s="184"/>
      <c r="M220" s="180">
        <f t="shared" si="100"/>
        <v>0</v>
      </c>
      <c r="N220" s="184"/>
      <c r="O220" s="181">
        <f t="shared" si="101"/>
        <v>0</v>
      </c>
      <c r="P220" s="184"/>
      <c r="Q220" s="184"/>
      <c r="R220" s="181">
        <f t="shared" si="102"/>
        <v>0</v>
      </c>
      <c r="S220" s="184"/>
      <c r="T220" s="184"/>
      <c r="U220" s="182">
        <f t="shared" si="103"/>
        <v>0</v>
      </c>
      <c r="V220" s="176" t="s">
        <v>154</v>
      </c>
      <c r="W220" s="177">
        <f>W216/26</f>
        <v>0</v>
      </c>
      <c r="X220" s="191"/>
      <c r="Y220" s="191"/>
      <c r="Z220" s="191"/>
    </row>
    <row r="221" spans="1:26" ht="22.5" customHeight="1">
      <c r="A221" s="160">
        <v>45255</v>
      </c>
      <c r="B221" s="161" t="s">
        <v>146</v>
      </c>
      <c r="C221" s="162">
        <f t="shared" si="3"/>
        <v>0</v>
      </c>
      <c r="D221" s="162">
        <f t="shared" ref="D221:E221" si="227">N221+Q221+T221</f>
        <v>0</v>
      </c>
      <c r="E221" s="163">
        <f t="shared" si="227"/>
        <v>0</v>
      </c>
      <c r="F221" s="164">
        <f t="shared" si="5"/>
        <v>0</v>
      </c>
      <c r="G221" s="163"/>
      <c r="H221" s="166"/>
      <c r="I221" s="163"/>
      <c r="J221" s="163"/>
      <c r="K221" s="163"/>
      <c r="L221" s="163"/>
      <c r="M221" s="163">
        <f t="shared" si="100"/>
        <v>0</v>
      </c>
      <c r="N221" s="163"/>
      <c r="O221" s="166">
        <f t="shared" si="101"/>
        <v>0</v>
      </c>
      <c r="P221" s="163"/>
      <c r="Q221" s="163"/>
      <c r="R221" s="166">
        <f t="shared" si="102"/>
        <v>0</v>
      </c>
      <c r="S221" s="163"/>
      <c r="T221" s="163"/>
      <c r="U221" s="167">
        <f t="shared" si="103"/>
        <v>0</v>
      </c>
      <c r="W221" s="148"/>
    </row>
    <row r="222" spans="1:26" ht="22.5" customHeight="1">
      <c r="A222" s="160">
        <v>45256</v>
      </c>
      <c r="B222" s="161" t="s">
        <v>147</v>
      </c>
      <c r="C222" s="162">
        <f t="shared" si="3"/>
        <v>0</v>
      </c>
      <c r="D222" s="162">
        <f t="shared" ref="D222:E222" si="228">N222+Q222+T222</f>
        <v>0</v>
      </c>
      <c r="E222" s="163">
        <f t="shared" si="228"/>
        <v>0</v>
      </c>
      <c r="F222" s="164">
        <f t="shared" si="5"/>
        <v>0</v>
      </c>
      <c r="G222" s="163"/>
      <c r="H222" s="166"/>
      <c r="I222" s="163"/>
      <c r="J222" s="163"/>
      <c r="K222" s="163"/>
      <c r="L222" s="163"/>
      <c r="M222" s="163">
        <f t="shared" si="100"/>
        <v>0</v>
      </c>
      <c r="N222" s="163"/>
      <c r="O222" s="166">
        <f t="shared" si="101"/>
        <v>0</v>
      </c>
      <c r="P222" s="163"/>
      <c r="Q222" s="163"/>
      <c r="R222" s="166">
        <f t="shared" si="102"/>
        <v>0</v>
      </c>
      <c r="S222" s="163"/>
      <c r="T222" s="163"/>
      <c r="U222" s="167">
        <f t="shared" si="103"/>
        <v>0</v>
      </c>
      <c r="W222" s="148"/>
    </row>
    <row r="223" spans="1:26" ht="22.5" customHeight="1">
      <c r="A223" s="160">
        <v>45257</v>
      </c>
      <c r="B223" s="161" t="s">
        <v>148</v>
      </c>
      <c r="C223" s="162">
        <f t="shared" si="3"/>
        <v>0</v>
      </c>
      <c r="D223" s="162">
        <f t="shared" ref="D223:E223" si="229">N223+Q223+T223</f>
        <v>0</v>
      </c>
      <c r="E223" s="163">
        <f t="shared" si="229"/>
        <v>0</v>
      </c>
      <c r="F223" s="164">
        <f t="shared" si="5"/>
        <v>0</v>
      </c>
      <c r="G223" s="163"/>
      <c r="H223" s="163"/>
      <c r="I223" s="165"/>
      <c r="J223" s="163"/>
      <c r="K223" s="163"/>
      <c r="L223" s="163"/>
      <c r="M223" s="163">
        <f t="shared" si="100"/>
        <v>0</v>
      </c>
      <c r="N223" s="163"/>
      <c r="O223" s="166">
        <f t="shared" si="101"/>
        <v>0</v>
      </c>
      <c r="P223" s="163"/>
      <c r="Q223" s="163"/>
      <c r="R223" s="166">
        <f t="shared" si="102"/>
        <v>0</v>
      </c>
      <c r="S223" s="163"/>
      <c r="T223" s="163"/>
      <c r="U223" s="167">
        <f t="shared" si="103"/>
        <v>0</v>
      </c>
      <c r="W223" s="148"/>
    </row>
    <row r="224" spans="1:26" ht="22.5" customHeight="1">
      <c r="A224" s="160">
        <v>45258</v>
      </c>
      <c r="B224" s="161" t="s">
        <v>142</v>
      </c>
      <c r="C224" s="162">
        <f t="shared" si="3"/>
        <v>0</v>
      </c>
      <c r="D224" s="162">
        <f t="shared" ref="D224:E224" si="230">N224+Q224+T224</f>
        <v>0</v>
      </c>
      <c r="E224" s="163">
        <f t="shared" si="230"/>
        <v>0</v>
      </c>
      <c r="F224" s="164">
        <f t="shared" si="5"/>
        <v>0</v>
      </c>
      <c r="G224" s="163"/>
      <c r="H224" s="166"/>
      <c r="I224" s="163"/>
      <c r="J224" s="163"/>
      <c r="K224" s="163"/>
      <c r="L224" s="163"/>
      <c r="M224" s="163">
        <f t="shared" si="100"/>
        <v>0</v>
      </c>
      <c r="N224" s="163"/>
      <c r="O224" s="166">
        <f t="shared" si="101"/>
        <v>0</v>
      </c>
      <c r="P224" s="163"/>
      <c r="Q224" s="163"/>
      <c r="R224" s="166">
        <f t="shared" si="102"/>
        <v>0</v>
      </c>
      <c r="S224" s="163"/>
      <c r="T224" s="163"/>
      <c r="U224" s="167">
        <f t="shared" si="103"/>
        <v>0</v>
      </c>
      <c r="W224" s="148"/>
    </row>
    <row r="225" spans="1:23" ht="22.5" customHeight="1">
      <c r="A225" s="160">
        <v>45259</v>
      </c>
      <c r="B225" s="161" t="s">
        <v>143</v>
      </c>
      <c r="C225" s="162">
        <f t="shared" si="3"/>
        <v>0</v>
      </c>
      <c r="D225" s="162">
        <f t="shared" ref="D225:E225" si="231">N225+Q225+T225</f>
        <v>0</v>
      </c>
      <c r="E225" s="163">
        <f t="shared" si="231"/>
        <v>0</v>
      </c>
      <c r="F225" s="164">
        <f t="shared" si="5"/>
        <v>0</v>
      </c>
      <c r="G225" s="163"/>
      <c r="H225" s="166"/>
      <c r="I225" s="163"/>
      <c r="J225" s="163"/>
      <c r="K225" s="163"/>
      <c r="L225" s="163"/>
      <c r="M225" s="163">
        <f t="shared" si="100"/>
        <v>0</v>
      </c>
      <c r="N225" s="163"/>
      <c r="O225" s="166">
        <f t="shared" si="101"/>
        <v>0</v>
      </c>
      <c r="P225" s="163"/>
      <c r="Q225" s="163"/>
      <c r="R225" s="166">
        <f t="shared" si="102"/>
        <v>0</v>
      </c>
      <c r="S225" s="163"/>
      <c r="T225" s="163"/>
      <c r="U225" s="167">
        <f t="shared" si="103"/>
        <v>0</v>
      </c>
      <c r="W225" s="148"/>
    </row>
    <row r="226" spans="1:23" ht="22.5" customHeight="1">
      <c r="A226" s="160">
        <v>45260</v>
      </c>
      <c r="B226" s="161" t="s">
        <v>144</v>
      </c>
      <c r="C226" s="162">
        <f t="shared" si="3"/>
        <v>0</v>
      </c>
      <c r="D226" s="162">
        <f t="shared" ref="D226:E226" si="232">N226+Q226+T226</f>
        <v>0</v>
      </c>
      <c r="E226" s="163">
        <f t="shared" si="232"/>
        <v>0</v>
      </c>
      <c r="F226" s="164">
        <f t="shared" si="5"/>
        <v>0</v>
      </c>
      <c r="G226" s="163"/>
      <c r="H226" s="166"/>
      <c r="I226" s="163"/>
      <c r="J226" s="163"/>
      <c r="K226" s="163"/>
      <c r="L226" s="163"/>
      <c r="M226" s="163">
        <f t="shared" si="100"/>
        <v>0</v>
      </c>
      <c r="N226" s="163"/>
      <c r="O226" s="166">
        <f t="shared" si="101"/>
        <v>0</v>
      </c>
      <c r="P226" s="163"/>
      <c r="Q226" s="163"/>
      <c r="R226" s="166">
        <f t="shared" si="102"/>
        <v>0</v>
      </c>
      <c r="S226" s="163"/>
      <c r="T226" s="163"/>
      <c r="U226" s="167">
        <f t="shared" si="103"/>
        <v>0</v>
      </c>
      <c r="W226" s="148"/>
    </row>
    <row r="227" spans="1:23" ht="22.5" customHeight="1">
      <c r="A227" s="160">
        <v>45261</v>
      </c>
      <c r="B227" s="161" t="s">
        <v>145</v>
      </c>
      <c r="C227" s="162">
        <f t="shared" si="3"/>
        <v>0</v>
      </c>
      <c r="D227" s="162">
        <f t="shared" ref="D227:E227" si="233">N227+Q227+T227</f>
        <v>0</v>
      </c>
      <c r="E227" s="163">
        <f t="shared" si="233"/>
        <v>0</v>
      </c>
      <c r="F227" s="164">
        <f t="shared" si="5"/>
        <v>0</v>
      </c>
      <c r="G227" s="163"/>
      <c r="H227" s="166"/>
      <c r="I227" s="163"/>
      <c r="J227" s="163"/>
      <c r="K227" s="163"/>
      <c r="L227" s="163"/>
      <c r="M227" s="163">
        <f t="shared" si="100"/>
        <v>0</v>
      </c>
      <c r="N227" s="163"/>
      <c r="O227" s="166">
        <f t="shared" si="101"/>
        <v>0</v>
      </c>
      <c r="P227" s="163"/>
      <c r="Q227" s="163"/>
      <c r="R227" s="166">
        <f t="shared" si="102"/>
        <v>0</v>
      </c>
      <c r="S227" s="163"/>
      <c r="T227" s="163"/>
      <c r="U227" s="167">
        <f t="shared" si="103"/>
        <v>0</v>
      </c>
      <c r="W227" s="148"/>
    </row>
    <row r="228" spans="1:23" ht="22.5" customHeight="1">
      <c r="A228" s="160">
        <v>45262</v>
      </c>
      <c r="B228" s="161" t="s">
        <v>146</v>
      </c>
      <c r="C228" s="162">
        <f t="shared" si="3"/>
        <v>0</v>
      </c>
      <c r="D228" s="162">
        <f t="shared" ref="D228:E228" si="234">N228+Q228+T228</f>
        <v>0</v>
      </c>
      <c r="E228" s="163">
        <f t="shared" si="234"/>
        <v>0</v>
      </c>
      <c r="F228" s="164">
        <f t="shared" si="5"/>
        <v>0</v>
      </c>
      <c r="G228" s="163"/>
      <c r="H228" s="166"/>
      <c r="I228" s="163"/>
      <c r="J228" s="163"/>
      <c r="K228" s="163"/>
      <c r="L228" s="163"/>
      <c r="M228" s="163">
        <f t="shared" si="100"/>
        <v>0</v>
      </c>
      <c r="N228" s="163"/>
      <c r="O228" s="166">
        <f t="shared" si="101"/>
        <v>0</v>
      </c>
      <c r="P228" s="163"/>
      <c r="Q228" s="163"/>
      <c r="R228" s="166">
        <f t="shared" si="102"/>
        <v>0</v>
      </c>
      <c r="S228" s="163"/>
      <c r="T228" s="163"/>
      <c r="U228" s="167">
        <f t="shared" si="103"/>
        <v>0</v>
      </c>
      <c r="W228" s="148"/>
    </row>
    <row r="229" spans="1:23" ht="22.5" customHeight="1">
      <c r="A229" s="160">
        <v>45263</v>
      </c>
      <c r="B229" s="161" t="s">
        <v>147</v>
      </c>
      <c r="C229" s="162">
        <f t="shared" si="3"/>
        <v>0</v>
      </c>
      <c r="D229" s="162">
        <f t="shared" ref="D229:E229" si="235">N229+Q229+T229</f>
        <v>0</v>
      </c>
      <c r="E229" s="163">
        <f t="shared" si="235"/>
        <v>0</v>
      </c>
      <c r="F229" s="164">
        <f t="shared" si="5"/>
        <v>0</v>
      </c>
      <c r="G229" s="163"/>
      <c r="H229" s="166"/>
      <c r="I229" s="163"/>
      <c r="J229" s="163"/>
      <c r="K229" s="163"/>
      <c r="L229" s="163"/>
      <c r="M229" s="163">
        <f t="shared" si="100"/>
        <v>0</v>
      </c>
      <c r="N229" s="163"/>
      <c r="O229" s="166">
        <f t="shared" si="101"/>
        <v>0</v>
      </c>
      <c r="P229" s="163"/>
      <c r="Q229" s="163"/>
      <c r="R229" s="166">
        <f t="shared" si="102"/>
        <v>0</v>
      </c>
      <c r="S229" s="163"/>
      <c r="T229" s="163"/>
      <c r="U229" s="167">
        <f t="shared" si="103"/>
        <v>0</v>
      </c>
      <c r="W229" s="148"/>
    </row>
    <row r="230" spans="1:23" ht="22.5" customHeight="1">
      <c r="A230" s="160">
        <v>45264</v>
      </c>
      <c r="B230" s="161" t="s">
        <v>148</v>
      </c>
      <c r="C230" s="162">
        <f t="shared" si="3"/>
        <v>0</v>
      </c>
      <c r="D230" s="162">
        <f t="shared" ref="D230:E230" si="236">N230+Q230+T230</f>
        <v>0</v>
      </c>
      <c r="E230" s="163">
        <f t="shared" si="236"/>
        <v>0</v>
      </c>
      <c r="F230" s="164">
        <f t="shared" si="5"/>
        <v>0</v>
      </c>
      <c r="G230" s="163"/>
      <c r="H230" s="163"/>
      <c r="I230" s="165"/>
      <c r="J230" s="163"/>
      <c r="K230" s="163"/>
      <c r="L230" s="163"/>
      <c r="M230" s="163">
        <f t="shared" si="100"/>
        <v>0</v>
      </c>
      <c r="N230" s="163"/>
      <c r="O230" s="166">
        <f t="shared" si="101"/>
        <v>0</v>
      </c>
      <c r="P230" s="163"/>
      <c r="Q230" s="163"/>
      <c r="R230" s="166">
        <f t="shared" si="102"/>
        <v>0</v>
      </c>
      <c r="S230" s="163"/>
      <c r="T230" s="163"/>
      <c r="U230" s="167">
        <f t="shared" si="103"/>
        <v>0</v>
      </c>
      <c r="W230" s="148"/>
    </row>
    <row r="231" spans="1:23" ht="22.5" customHeight="1">
      <c r="A231" s="160">
        <v>45265</v>
      </c>
      <c r="B231" s="161" t="s">
        <v>142</v>
      </c>
      <c r="C231" s="162">
        <f t="shared" si="3"/>
        <v>0</v>
      </c>
      <c r="D231" s="162">
        <f t="shared" ref="D231:E231" si="237">N231+Q231+T231</f>
        <v>0</v>
      </c>
      <c r="E231" s="163">
        <f t="shared" si="237"/>
        <v>0</v>
      </c>
      <c r="F231" s="164">
        <f t="shared" si="5"/>
        <v>0</v>
      </c>
      <c r="G231" s="163"/>
      <c r="H231" s="166"/>
      <c r="I231" s="163"/>
      <c r="J231" s="163"/>
      <c r="K231" s="163"/>
      <c r="L231" s="163"/>
      <c r="M231" s="163">
        <f t="shared" si="100"/>
        <v>0</v>
      </c>
      <c r="N231" s="163"/>
      <c r="O231" s="166">
        <f t="shared" si="101"/>
        <v>0</v>
      </c>
      <c r="P231" s="163"/>
      <c r="Q231" s="163"/>
      <c r="R231" s="166">
        <f t="shared" si="102"/>
        <v>0</v>
      </c>
      <c r="S231" s="163"/>
      <c r="T231" s="163"/>
      <c r="U231" s="167">
        <f t="shared" si="103"/>
        <v>0</v>
      </c>
      <c r="W231" s="148"/>
    </row>
    <row r="232" spans="1:23" ht="22.5" customHeight="1">
      <c r="A232" s="160">
        <v>45266</v>
      </c>
      <c r="B232" s="161" t="s">
        <v>143</v>
      </c>
      <c r="C232" s="162">
        <f t="shared" si="3"/>
        <v>0</v>
      </c>
      <c r="D232" s="162">
        <f t="shared" ref="D232:E232" si="238">N232+Q232+T232</f>
        <v>0</v>
      </c>
      <c r="E232" s="163">
        <f t="shared" si="238"/>
        <v>0</v>
      </c>
      <c r="F232" s="164">
        <f t="shared" si="5"/>
        <v>0</v>
      </c>
      <c r="G232" s="163"/>
      <c r="H232" s="166"/>
      <c r="I232" s="163"/>
      <c r="J232" s="163"/>
      <c r="K232" s="163"/>
      <c r="L232" s="163"/>
      <c r="M232" s="163">
        <f t="shared" si="100"/>
        <v>0</v>
      </c>
      <c r="N232" s="163"/>
      <c r="O232" s="166">
        <f t="shared" si="101"/>
        <v>0</v>
      </c>
      <c r="P232" s="163"/>
      <c r="Q232" s="163"/>
      <c r="R232" s="166">
        <f t="shared" si="102"/>
        <v>0</v>
      </c>
      <c r="S232" s="163"/>
      <c r="T232" s="163"/>
      <c r="U232" s="167">
        <f t="shared" si="103"/>
        <v>0</v>
      </c>
      <c r="W232" s="148"/>
    </row>
    <row r="233" spans="1:23" ht="22.5" customHeight="1">
      <c r="A233" s="160">
        <v>45267</v>
      </c>
      <c r="B233" s="161" t="s">
        <v>144</v>
      </c>
      <c r="C233" s="162">
        <f t="shared" si="3"/>
        <v>0</v>
      </c>
      <c r="D233" s="162">
        <f t="shared" ref="D233:E233" si="239">N233+Q233+T233</f>
        <v>0</v>
      </c>
      <c r="E233" s="163">
        <f t="shared" si="239"/>
        <v>0</v>
      </c>
      <c r="F233" s="164">
        <f t="shared" si="5"/>
        <v>0</v>
      </c>
      <c r="G233" s="163"/>
      <c r="H233" s="166"/>
      <c r="I233" s="163"/>
      <c r="J233" s="163"/>
      <c r="K233" s="163"/>
      <c r="L233" s="163"/>
      <c r="M233" s="163">
        <f t="shared" si="100"/>
        <v>0</v>
      </c>
      <c r="N233" s="163"/>
      <c r="O233" s="166">
        <f t="shared" si="101"/>
        <v>0</v>
      </c>
      <c r="P233" s="163"/>
      <c r="Q233" s="163"/>
      <c r="R233" s="166">
        <f t="shared" si="102"/>
        <v>0</v>
      </c>
      <c r="S233" s="163"/>
      <c r="T233" s="163"/>
      <c r="U233" s="167">
        <f t="shared" si="103"/>
        <v>0</v>
      </c>
      <c r="W233" s="148"/>
    </row>
    <row r="234" spans="1:23" ht="22.5" customHeight="1">
      <c r="A234" s="160">
        <v>45268</v>
      </c>
      <c r="B234" s="161" t="s">
        <v>145</v>
      </c>
      <c r="C234" s="162">
        <f t="shared" si="3"/>
        <v>0</v>
      </c>
      <c r="D234" s="162">
        <f t="shared" ref="D234:E234" si="240">N234+Q234+T234</f>
        <v>0</v>
      </c>
      <c r="E234" s="163">
        <f t="shared" si="240"/>
        <v>0</v>
      </c>
      <c r="F234" s="164">
        <f t="shared" si="5"/>
        <v>0</v>
      </c>
      <c r="G234" s="163"/>
      <c r="H234" s="166"/>
      <c r="I234" s="163"/>
      <c r="J234" s="163"/>
      <c r="K234" s="163"/>
      <c r="L234" s="163"/>
      <c r="M234" s="163">
        <f t="shared" si="100"/>
        <v>0</v>
      </c>
      <c r="N234" s="163"/>
      <c r="O234" s="166">
        <f t="shared" si="101"/>
        <v>0</v>
      </c>
      <c r="P234" s="163"/>
      <c r="Q234" s="163"/>
      <c r="R234" s="166">
        <f t="shared" si="102"/>
        <v>0</v>
      </c>
      <c r="S234" s="163"/>
      <c r="T234" s="163"/>
      <c r="U234" s="167">
        <f t="shared" si="103"/>
        <v>0</v>
      </c>
      <c r="W234" s="148"/>
    </row>
    <row r="235" spans="1:23" ht="22.5" customHeight="1">
      <c r="A235" s="160">
        <v>45269</v>
      </c>
      <c r="B235" s="161" t="s">
        <v>146</v>
      </c>
      <c r="C235" s="162">
        <f t="shared" si="3"/>
        <v>0</v>
      </c>
      <c r="D235" s="162">
        <f t="shared" ref="D235:E235" si="241">N235+Q235+T235</f>
        <v>0</v>
      </c>
      <c r="E235" s="163">
        <f t="shared" si="241"/>
        <v>0</v>
      </c>
      <c r="F235" s="164">
        <f t="shared" si="5"/>
        <v>0</v>
      </c>
      <c r="G235" s="163"/>
      <c r="H235" s="166"/>
      <c r="I235" s="163"/>
      <c r="J235" s="163"/>
      <c r="K235" s="163"/>
      <c r="L235" s="163"/>
      <c r="M235" s="163">
        <f t="shared" si="100"/>
        <v>0</v>
      </c>
      <c r="N235" s="163"/>
      <c r="O235" s="166">
        <f t="shared" si="101"/>
        <v>0</v>
      </c>
      <c r="P235" s="163"/>
      <c r="Q235" s="163"/>
      <c r="R235" s="166">
        <f t="shared" si="102"/>
        <v>0</v>
      </c>
      <c r="S235" s="163"/>
      <c r="T235" s="163"/>
      <c r="U235" s="167">
        <f t="shared" si="103"/>
        <v>0</v>
      </c>
      <c r="W235" s="148"/>
    </row>
    <row r="236" spans="1:23" ht="22.5" customHeight="1">
      <c r="A236" s="160">
        <v>45270</v>
      </c>
      <c r="B236" s="161" t="s">
        <v>147</v>
      </c>
      <c r="C236" s="162">
        <f t="shared" si="3"/>
        <v>0</v>
      </c>
      <c r="D236" s="162">
        <f t="shared" ref="D236:E236" si="242">N236+Q236+T236</f>
        <v>0</v>
      </c>
      <c r="E236" s="163">
        <f t="shared" si="242"/>
        <v>0</v>
      </c>
      <c r="F236" s="164">
        <f t="shared" si="5"/>
        <v>0</v>
      </c>
      <c r="G236" s="163"/>
      <c r="H236" s="166"/>
      <c r="I236" s="163"/>
      <c r="J236" s="163"/>
      <c r="K236" s="163"/>
      <c r="L236" s="163"/>
      <c r="M236" s="163">
        <f t="shared" si="100"/>
        <v>0</v>
      </c>
      <c r="N236" s="163"/>
      <c r="O236" s="166">
        <f t="shared" si="101"/>
        <v>0</v>
      </c>
      <c r="P236" s="163"/>
      <c r="Q236" s="163"/>
      <c r="R236" s="166">
        <f t="shared" si="102"/>
        <v>0</v>
      </c>
      <c r="S236" s="163"/>
      <c r="T236" s="163"/>
      <c r="U236" s="167">
        <f t="shared" si="103"/>
        <v>0</v>
      </c>
      <c r="W236" s="148"/>
    </row>
    <row r="237" spans="1:23" ht="22.5" customHeight="1">
      <c r="A237" s="160">
        <v>45271</v>
      </c>
      <c r="B237" s="161" t="s">
        <v>148</v>
      </c>
      <c r="C237" s="162">
        <f t="shared" si="3"/>
        <v>0</v>
      </c>
      <c r="D237" s="162">
        <f t="shared" ref="D237:E237" si="243">N237+Q237+T237</f>
        <v>0</v>
      </c>
      <c r="E237" s="163">
        <f t="shared" si="243"/>
        <v>0</v>
      </c>
      <c r="F237" s="164">
        <f t="shared" si="5"/>
        <v>0</v>
      </c>
      <c r="G237" s="163"/>
      <c r="H237" s="163"/>
      <c r="I237" s="165"/>
      <c r="J237" s="163"/>
      <c r="K237" s="163"/>
      <c r="L237" s="163"/>
      <c r="M237" s="163">
        <f t="shared" si="100"/>
        <v>0</v>
      </c>
      <c r="N237" s="163"/>
      <c r="O237" s="166">
        <f t="shared" si="101"/>
        <v>0</v>
      </c>
      <c r="P237" s="163"/>
      <c r="Q237" s="163"/>
      <c r="R237" s="166">
        <f t="shared" si="102"/>
        <v>0</v>
      </c>
      <c r="S237" s="163"/>
      <c r="T237" s="163"/>
      <c r="U237" s="167">
        <f t="shared" si="103"/>
        <v>0</v>
      </c>
      <c r="W237" s="148"/>
    </row>
    <row r="238" spans="1:23" ht="22.5" customHeight="1">
      <c r="A238" s="160">
        <v>45272</v>
      </c>
      <c r="B238" s="161" t="s">
        <v>142</v>
      </c>
      <c r="C238" s="162">
        <f t="shared" si="3"/>
        <v>0</v>
      </c>
      <c r="D238" s="162">
        <f t="shared" ref="D238:E238" si="244">N238+Q238+T238</f>
        <v>0</v>
      </c>
      <c r="E238" s="163">
        <f t="shared" si="244"/>
        <v>0</v>
      </c>
      <c r="F238" s="164">
        <f t="shared" si="5"/>
        <v>0</v>
      </c>
      <c r="G238" s="163"/>
      <c r="H238" s="166"/>
      <c r="I238" s="163"/>
      <c r="J238" s="163"/>
      <c r="K238" s="163"/>
      <c r="L238" s="163"/>
      <c r="M238" s="163">
        <f t="shared" si="100"/>
        <v>0</v>
      </c>
      <c r="N238" s="163"/>
      <c r="O238" s="166">
        <f t="shared" si="101"/>
        <v>0</v>
      </c>
      <c r="P238" s="163"/>
      <c r="Q238" s="163"/>
      <c r="R238" s="166">
        <f t="shared" si="102"/>
        <v>0</v>
      </c>
      <c r="S238" s="163"/>
      <c r="T238" s="163"/>
      <c r="U238" s="167">
        <f t="shared" si="103"/>
        <v>0</v>
      </c>
      <c r="W238" s="148"/>
    </row>
    <row r="239" spans="1:23" ht="22.5" customHeight="1">
      <c r="A239" s="160">
        <v>45273</v>
      </c>
      <c r="B239" s="161" t="s">
        <v>143</v>
      </c>
      <c r="C239" s="162">
        <f t="shared" si="3"/>
        <v>0</v>
      </c>
      <c r="D239" s="162">
        <f t="shared" ref="D239:E239" si="245">N239+Q239+T239</f>
        <v>0</v>
      </c>
      <c r="E239" s="163">
        <f t="shared" si="245"/>
        <v>0</v>
      </c>
      <c r="F239" s="164">
        <f t="shared" si="5"/>
        <v>0</v>
      </c>
      <c r="G239" s="163"/>
      <c r="H239" s="166"/>
      <c r="I239" s="163"/>
      <c r="J239" s="163"/>
      <c r="K239" s="163"/>
      <c r="L239" s="163"/>
      <c r="M239" s="163">
        <f t="shared" si="100"/>
        <v>0</v>
      </c>
      <c r="N239" s="163"/>
      <c r="O239" s="166">
        <f t="shared" si="101"/>
        <v>0</v>
      </c>
      <c r="P239" s="163"/>
      <c r="Q239" s="163"/>
      <c r="R239" s="166">
        <f t="shared" si="102"/>
        <v>0</v>
      </c>
      <c r="S239" s="163"/>
      <c r="T239" s="163"/>
      <c r="U239" s="167">
        <f t="shared" si="103"/>
        <v>0</v>
      </c>
      <c r="W239" s="148"/>
    </row>
    <row r="240" spans="1:23" ht="22.5" customHeight="1">
      <c r="A240" s="160">
        <v>45274</v>
      </c>
      <c r="B240" s="161" t="s">
        <v>144</v>
      </c>
      <c r="C240" s="162">
        <f t="shared" si="3"/>
        <v>0</v>
      </c>
      <c r="D240" s="162">
        <f t="shared" ref="D240:E240" si="246">N240+Q240+T240</f>
        <v>0</v>
      </c>
      <c r="E240" s="163">
        <f t="shared" si="246"/>
        <v>0</v>
      </c>
      <c r="F240" s="164">
        <f t="shared" si="5"/>
        <v>0</v>
      </c>
      <c r="G240" s="163"/>
      <c r="H240" s="166"/>
      <c r="I240" s="163"/>
      <c r="J240" s="163"/>
      <c r="K240" s="163"/>
      <c r="L240" s="163"/>
      <c r="M240" s="163">
        <f t="shared" si="100"/>
        <v>0</v>
      </c>
      <c r="N240" s="163"/>
      <c r="O240" s="166">
        <f t="shared" si="101"/>
        <v>0</v>
      </c>
      <c r="P240" s="163"/>
      <c r="Q240" s="163"/>
      <c r="R240" s="166">
        <f t="shared" si="102"/>
        <v>0</v>
      </c>
      <c r="S240" s="163"/>
      <c r="T240" s="163"/>
      <c r="U240" s="167">
        <f t="shared" si="103"/>
        <v>0</v>
      </c>
      <c r="W240" s="148"/>
    </row>
    <row r="241" spans="1:26" ht="22.5" customHeight="1">
      <c r="A241" s="160">
        <v>45275</v>
      </c>
      <c r="B241" s="161" t="s">
        <v>145</v>
      </c>
      <c r="C241" s="162">
        <f t="shared" si="3"/>
        <v>0</v>
      </c>
      <c r="D241" s="162">
        <f t="shared" ref="D241:E241" si="247">N241+Q241+T241</f>
        <v>0</v>
      </c>
      <c r="E241" s="163">
        <f t="shared" si="247"/>
        <v>0</v>
      </c>
      <c r="F241" s="164">
        <f t="shared" si="5"/>
        <v>0</v>
      </c>
      <c r="G241" s="163"/>
      <c r="H241" s="166"/>
      <c r="I241" s="163"/>
      <c r="J241" s="163"/>
      <c r="K241" s="163"/>
      <c r="L241" s="163"/>
      <c r="M241" s="163">
        <f t="shared" si="100"/>
        <v>0</v>
      </c>
      <c r="N241" s="163"/>
      <c r="O241" s="166">
        <f t="shared" si="101"/>
        <v>0</v>
      </c>
      <c r="P241" s="163"/>
      <c r="Q241" s="163"/>
      <c r="R241" s="166">
        <f t="shared" si="102"/>
        <v>0</v>
      </c>
      <c r="S241" s="163"/>
      <c r="T241" s="163"/>
      <c r="U241" s="167">
        <f t="shared" si="103"/>
        <v>0</v>
      </c>
      <c r="W241" s="148"/>
    </row>
    <row r="242" spans="1:26" ht="22.5" customHeight="1">
      <c r="A242" s="160">
        <v>45276</v>
      </c>
      <c r="B242" s="161" t="s">
        <v>146</v>
      </c>
      <c r="C242" s="162">
        <f t="shared" si="3"/>
        <v>0</v>
      </c>
      <c r="D242" s="162">
        <f t="shared" ref="D242:E242" si="248">N242+Q242+T242</f>
        <v>0</v>
      </c>
      <c r="E242" s="163">
        <f t="shared" si="248"/>
        <v>0</v>
      </c>
      <c r="F242" s="164">
        <f t="shared" si="5"/>
        <v>0</v>
      </c>
      <c r="G242" s="163"/>
      <c r="H242" s="166"/>
      <c r="I242" s="163"/>
      <c r="J242" s="163"/>
      <c r="K242" s="163"/>
      <c r="L242" s="163"/>
      <c r="M242" s="163">
        <f t="shared" si="100"/>
        <v>0</v>
      </c>
      <c r="N242" s="163"/>
      <c r="O242" s="166">
        <f t="shared" si="101"/>
        <v>0</v>
      </c>
      <c r="P242" s="163"/>
      <c r="Q242" s="163"/>
      <c r="R242" s="166">
        <f t="shared" si="102"/>
        <v>0</v>
      </c>
      <c r="S242" s="163"/>
      <c r="T242" s="163"/>
      <c r="U242" s="167">
        <f t="shared" si="103"/>
        <v>0</v>
      </c>
      <c r="W242" s="148"/>
    </row>
    <row r="243" spans="1:26" ht="22.5" customHeight="1">
      <c r="A243" s="160">
        <v>45277</v>
      </c>
      <c r="B243" s="161" t="s">
        <v>147</v>
      </c>
      <c r="C243" s="162">
        <f t="shared" si="3"/>
        <v>0</v>
      </c>
      <c r="D243" s="162">
        <f t="shared" ref="D243:E243" si="249">N243+Q243+T243</f>
        <v>0</v>
      </c>
      <c r="E243" s="163">
        <f t="shared" si="249"/>
        <v>0</v>
      </c>
      <c r="F243" s="164">
        <f t="shared" si="5"/>
        <v>0</v>
      </c>
      <c r="G243" s="163"/>
      <c r="H243" s="166"/>
      <c r="I243" s="163"/>
      <c r="J243" s="163"/>
      <c r="K243" s="163"/>
      <c r="L243" s="163"/>
      <c r="M243" s="163">
        <f t="shared" si="100"/>
        <v>0</v>
      </c>
      <c r="N243" s="163"/>
      <c r="O243" s="166">
        <f t="shared" si="101"/>
        <v>0</v>
      </c>
      <c r="P243" s="163"/>
      <c r="Q243" s="163"/>
      <c r="R243" s="166">
        <f t="shared" si="102"/>
        <v>0</v>
      </c>
      <c r="S243" s="163"/>
      <c r="T243" s="163"/>
      <c r="U243" s="167">
        <f t="shared" si="103"/>
        <v>0</v>
      </c>
      <c r="W243" s="148"/>
    </row>
    <row r="244" spans="1:26" ht="22.5" customHeight="1">
      <c r="A244" s="160">
        <v>45278</v>
      </c>
      <c r="B244" s="161" t="s">
        <v>148</v>
      </c>
      <c r="C244" s="162">
        <f t="shared" si="3"/>
        <v>0</v>
      </c>
      <c r="D244" s="162">
        <f t="shared" ref="D244:E244" si="250">N244+Q244+T244</f>
        <v>0</v>
      </c>
      <c r="E244" s="163">
        <f t="shared" si="250"/>
        <v>0</v>
      </c>
      <c r="F244" s="164">
        <f t="shared" si="5"/>
        <v>0</v>
      </c>
      <c r="G244" s="163"/>
      <c r="H244" s="163"/>
      <c r="I244" s="165"/>
      <c r="J244" s="163"/>
      <c r="K244" s="163"/>
      <c r="L244" s="163"/>
      <c r="M244" s="163">
        <f t="shared" si="100"/>
        <v>0</v>
      </c>
      <c r="N244" s="163"/>
      <c r="O244" s="166">
        <f t="shared" si="101"/>
        <v>0</v>
      </c>
      <c r="P244" s="163"/>
      <c r="Q244" s="163"/>
      <c r="R244" s="166">
        <f t="shared" si="102"/>
        <v>0</v>
      </c>
      <c r="S244" s="163"/>
      <c r="T244" s="163"/>
      <c r="U244" s="167">
        <f t="shared" si="103"/>
        <v>0</v>
      </c>
      <c r="W244" s="148"/>
    </row>
    <row r="245" spans="1:26" ht="22.5" customHeight="1">
      <c r="A245" s="160">
        <v>45279</v>
      </c>
      <c r="B245" s="161" t="s">
        <v>142</v>
      </c>
      <c r="C245" s="162">
        <f t="shared" si="3"/>
        <v>0</v>
      </c>
      <c r="D245" s="162">
        <f t="shared" ref="D245:E245" si="251">N245+Q245+T245</f>
        <v>0</v>
      </c>
      <c r="E245" s="163">
        <f t="shared" si="251"/>
        <v>0</v>
      </c>
      <c r="F245" s="164">
        <f t="shared" si="5"/>
        <v>0</v>
      </c>
      <c r="G245" s="163"/>
      <c r="H245" s="166"/>
      <c r="I245" s="163"/>
      <c r="J245" s="163"/>
      <c r="K245" s="163"/>
      <c r="L245" s="163"/>
      <c r="M245" s="163">
        <f t="shared" si="100"/>
        <v>0</v>
      </c>
      <c r="N245" s="163"/>
      <c r="O245" s="166">
        <f t="shared" si="101"/>
        <v>0</v>
      </c>
      <c r="P245" s="163"/>
      <c r="Q245" s="163"/>
      <c r="R245" s="166">
        <f t="shared" si="102"/>
        <v>0</v>
      </c>
      <c r="S245" s="163"/>
      <c r="T245" s="163"/>
      <c r="U245" s="167">
        <f t="shared" si="103"/>
        <v>0</v>
      </c>
      <c r="V245" s="174" t="s">
        <v>149</v>
      </c>
      <c r="W245" s="175">
        <f>PRESUPUESTO!AB27</f>
        <v>75248.990362242548</v>
      </c>
    </row>
    <row r="246" spans="1:26" ht="22.5" customHeight="1">
      <c r="A246" s="160">
        <v>45280</v>
      </c>
      <c r="B246" s="161" t="s">
        <v>143</v>
      </c>
      <c r="C246" s="162">
        <f t="shared" si="3"/>
        <v>0</v>
      </c>
      <c r="D246" s="162">
        <f t="shared" ref="D246:E246" si="252">N246+Q246+T246</f>
        <v>0</v>
      </c>
      <c r="E246" s="163">
        <f t="shared" si="252"/>
        <v>0</v>
      </c>
      <c r="F246" s="164">
        <f t="shared" si="5"/>
        <v>0</v>
      </c>
      <c r="G246" s="163"/>
      <c r="H246" s="166"/>
      <c r="I246" s="163"/>
      <c r="J246" s="163"/>
      <c r="K246" s="163"/>
      <c r="L246" s="163"/>
      <c r="M246" s="163">
        <f t="shared" si="100"/>
        <v>0</v>
      </c>
      <c r="N246" s="163"/>
      <c r="O246" s="166">
        <f t="shared" si="101"/>
        <v>0</v>
      </c>
      <c r="P246" s="163"/>
      <c r="Q246" s="163"/>
      <c r="R246" s="166">
        <f t="shared" si="102"/>
        <v>0</v>
      </c>
      <c r="S246" s="163"/>
      <c r="T246" s="163"/>
      <c r="U246" s="167">
        <f t="shared" si="103"/>
        <v>0</v>
      </c>
      <c r="V246" s="174" t="s">
        <v>150</v>
      </c>
      <c r="W246" s="175">
        <f>SUBTOTAL(9,C221:C250)</f>
        <v>0</v>
      </c>
    </row>
    <row r="247" spans="1:26" ht="22.5" customHeight="1">
      <c r="A247" s="160">
        <v>45281</v>
      </c>
      <c r="B247" s="161" t="s">
        <v>144</v>
      </c>
      <c r="C247" s="162">
        <f t="shared" si="3"/>
        <v>0</v>
      </c>
      <c r="D247" s="162">
        <f t="shared" ref="D247:E247" si="253">N247+Q247+T247</f>
        <v>0</v>
      </c>
      <c r="E247" s="163">
        <f t="shared" si="253"/>
        <v>0</v>
      </c>
      <c r="F247" s="164">
        <f t="shared" si="5"/>
        <v>0</v>
      </c>
      <c r="G247" s="163"/>
      <c r="H247" s="166"/>
      <c r="I247" s="163"/>
      <c r="J247" s="163"/>
      <c r="K247" s="163"/>
      <c r="L247" s="163"/>
      <c r="M247" s="163">
        <f t="shared" si="100"/>
        <v>0</v>
      </c>
      <c r="N247" s="163"/>
      <c r="O247" s="166">
        <f t="shared" si="101"/>
        <v>0</v>
      </c>
      <c r="P247" s="163"/>
      <c r="Q247" s="163"/>
      <c r="R247" s="166">
        <f t="shared" si="102"/>
        <v>0</v>
      </c>
      <c r="S247" s="163"/>
      <c r="T247" s="163"/>
      <c r="U247" s="167">
        <f t="shared" si="103"/>
        <v>0</v>
      </c>
      <c r="V247" s="174" t="s">
        <v>151</v>
      </c>
      <c r="W247" s="175">
        <f>SUM(N221:N250)+SUM(Q221:Q250)+SUM(T221:T250)</f>
        <v>0</v>
      </c>
    </row>
    <row r="248" spans="1:26" ht="22.5" customHeight="1">
      <c r="A248" s="160">
        <v>45282</v>
      </c>
      <c r="B248" s="161" t="s">
        <v>145</v>
      </c>
      <c r="C248" s="162">
        <f t="shared" si="3"/>
        <v>0</v>
      </c>
      <c r="D248" s="162">
        <f t="shared" ref="D248:E248" si="254">N248+Q248+T248</f>
        <v>0</v>
      </c>
      <c r="E248" s="163">
        <f t="shared" si="254"/>
        <v>0</v>
      </c>
      <c r="F248" s="164">
        <f t="shared" si="5"/>
        <v>0</v>
      </c>
      <c r="G248" s="163"/>
      <c r="H248" s="166"/>
      <c r="I248" s="163"/>
      <c r="J248" s="163"/>
      <c r="K248" s="163"/>
      <c r="L248" s="163"/>
      <c r="M248" s="163">
        <f t="shared" si="100"/>
        <v>0</v>
      </c>
      <c r="N248" s="163"/>
      <c r="O248" s="166">
        <f t="shared" si="101"/>
        <v>0</v>
      </c>
      <c r="P248" s="163"/>
      <c r="Q248" s="163"/>
      <c r="R248" s="166">
        <f t="shared" si="102"/>
        <v>0</v>
      </c>
      <c r="S248" s="163"/>
      <c r="T248" s="163"/>
      <c r="U248" s="167">
        <f t="shared" si="103"/>
        <v>0</v>
      </c>
      <c r="V248" s="174" t="s">
        <v>152</v>
      </c>
      <c r="W248" s="175">
        <f>SUM(O221:O250)+SUM(R221:R250)+SUM(U221:U250)</f>
        <v>0</v>
      </c>
    </row>
    <row r="249" spans="1:26" ht="22.5" customHeight="1">
      <c r="A249" s="160">
        <v>45283</v>
      </c>
      <c r="B249" s="161" t="s">
        <v>146</v>
      </c>
      <c r="C249" s="162">
        <f t="shared" si="3"/>
        <v>0</v>
      </c>
      <c r="D249" s="162">
        <f t="shared" ref="D249:E249" si="255">N249+Q249+T249</f>
        <v>0</v>
      </c>
      <c r="E249" s="163">
        <f t="shared" si="255"/>
        <v>0</v>
      </c>
      <c r="F249" s="164">
        <f t="shared" si="5"/>
        <v>0</v>
      </c>
      <c r="G249" s="163"/>
      <c r="H249" s="166"/>
      <c r="I249" s="163"/>
      <c r="J249" s="163"/>
      <c r="K249" s="163"/>
      <c r="L249" s="163"/>
      <c r="M249" s="163">
        <f t="shared" si="100"/>
        <v>0</v>
      </c>
      <c r="N249" s="163"/>
      <c r="O249" s="166">
        <f t="shared" si="101"/>
        <v>0</v>
      </c>
      <c r="P249" s="163"/>
      <c r="Q249" s="163"/>
      <c r="R249" s="166">
        <f t="shared" si="102"/>
        <v>0</v>
      </c>
      <c r="S249" s="163"/>
      <c r="T249" s="163"/>
      <c r="U249" s="167">
        <f>+S249-T249</f>
        <v>0</v>
      </c>
      <c r="V249" s="176" t="s">
        <v>153</v>
      </c>
      <c r="W249" s="177" t="e">
        <f>W246/COUNTIF(C221:C250,"&lt;&gt;0")</f>
        <v>#DIV/0!</v>
      </c>
    </row>
    <row r="250" spans="1:26" ht="22.5" customHeight="1">
      <c r="A250" s="160">
        <v>45284</v>
      </c>
      <c r="B250" s="161" t="s">
        <v>147</v>
      </c>
      <c r="C250" s="178">
        <f t="shared" si="3"/>
        <v>0</v>
      </c>
      <c r="D250" s="178">
        <f t="shared" ref="D250:E250" si="256">N250+Q250+T250</f>
        <v>0</v>
      </c>
      <c r="E250" s="179">
        <f t="shared" si="256"/>
        <v>0</v>
      </c>
      <c r="F250" s="164">
        <f t="shared" si="5"/>
        <v>0</v>
      </c>
      <c r="G250" s="184"/>
      <c r="H250" s="184"/>
      <c r="I250" s="185"/>
      <c r="J250" s="184"/>
      <c r="K250" s="184"/>
      <c r="L250" s="184"/>
      <c r="M250" s="180">
        <f t="shared" si="100"/>
        <v>0</v>
      </c>
      <c r="N250" s="184"/>
      <c r="O250" s="181">
        <f t="shared" si="101"/>
        <v>0</v>
      </c>
      <c r="P250" s="184"/>
      <c r="Q250" s="184"/>
      <c r="R250" s="181">
        <f t="shared" si="102"/>
        <v>0</v>
      </c>
      <c r="S250" s="184"/>
      <c r="T250" s="184"/>
      <c r="U250" s="182">
        <f>S250-T250</f>
        <v>0</v>
      </c>
      <c r="V250" s="176" t="s">
        <v>154</v>
      </c>
      <c r="W250" s="177">
        <f>W246/26</f>
        <v>0</v>
      </c>
      <c r="X250" s="191"/>
      <c r="Y250" s="191"/>
      <c r="Z250" s="191"/>
    </row>
    <row r="251" spans="1:26" ht="22.5" customHeight="1">
      <c r="A251" s="160">
        <v>45285</v>
      </c>
      <c r="B251" s="161" t="s">
        <v>148</v>
      </c>
      <c r="C251" s="162">
        <f t="shared" si="3"/>
        <v>0</v>
      </c>
      <c r="D251" s="162">
        <f t="shared" ref="D251:E251" si="257">N251+Q251+T251</f>
        <v>0</v>
      </c>
      <c r="E251" s="163">
        <f t="shared" si="257"/>
        <v>0</v>
      </c>
      <c r="F251" s="164">
        <f t="shared" si="5"/>
        <v>0</v>
      </c>
      <c r="G251" s="186"/>
      <c r="H251" s="187"/>
      <c r="I251" s="186"/>
      <c r="J251" s="186"/>
      <c r="K251" s="186"/>
      <c r="L251" s="186"/>
      <c r="M251" s="186"/>
      <c r="N251" s="186"/>
      <c r="O251" s="187"/>
      <c r="P251" s="186"/>
      <c r="Q251" s="186"/>
      <c r="R251" s="187"/>
      <c r="S251" s="186"/>
      <c r="T251" s="186"/>
      <c r="U251" s="189"/>
      <c r="W251" s="148"/>
    </row>
    <row r="252" spans="1:26" ht="22.5" customHeight="1">
      <c r="A252" s="160">
        <v>45286</v>
      </c>
      <c r="B252" s="161" t="s">
        <v>142</v>
      </c>
      <c r="C252" s="162">
        <f t="shared" si="3"/>
        <v>0</v>
      </c>
      <c r="D252" s="162">
        <f t="shared" ref="D252:E252" si="258">N252+Q252+T252</f>
        <v>0</v>
      </c>
      <c r="E252" s="163">
        <f t="shared" si="258"/>
        <v>0</v>
      </c>
      <c r="F252" s="164">
        <f t="shared" si="5"/>
        <v>0</v>
      </c>
      <c r="G252" s="163"/>
      <c r="H252" s="166"/>
      <c r="I252" s="163"/>
      <c r="J252" s="163"/>
      <c r="K252" s="163"/>
      <c r="L252" s="163"/>
      <c r="M252" s="163">
        <f t="shared" ref="M252:M372" si="259">I252+J252-K252-L252</f>
        <v>0</v>
      </c>
      <c r="N252" s="163"/>
      <c r="O252" s="166">
        <f t="shared" ref="O252:O372" si="260">M252-N252</f>
        <v>0</v>
      </c>
      <c r="P252" s="163"/>
      <c r="Q252" s="163"/>
      <c r="R252" s="166">
        <f t="shared" ref="R252:R372" si="261">P252-Q252</f>
        <v>0</v>
      </c>
      <c r="S252" s="163"/>
      <c r="T252" s="163"/>
      <c r="U252" s="167">
        <f t="shared" ref="U252:U372" si="262">S252-T252</f>
        <v>0</v>
      </c>
      <c r="W252" s="148"/>
    </row>
    <row r="253" spans="1:26" ht="22.5" customHeight="1">
      <c r="A253" s="160">
        <v>45287</v>
      </c>
      <c r="B253" s="161" t="s">
        <v>143</v>
      </c>
      <c r="C253" s="162">
        <f t="shared" si="3"/>
        <v>0</v>
      </c>
      <c r="D253" s="162">
        <f t="shared" ref="D253:E253" si="263">N253+Q253+T253</f>
        <v>0</v>
      </c>
      <c r="E253" s="163">
        <f t="shared" si="263"/>
        <v>0</v>
      </c>
      <c r="F253" s="164">
        <f t="shared" si="5"/>
        <v>0</v>
      </c>
      <c r="G253" s="163"/>
      <c r="H253" s="166"/>
      <c r="I253" s="163"/>
      <c r="J253" s="163"/>
      <c r="K253" s="163"/>
      <c r="L253" s="163"/>
      <c r="M253" s="163">
        <f t="shared" si="259"/>
        <v>0</v>
      </c>
      <c r="N253" s="163"/>
      <c r="O253" s="166">
        <f t="shared" si="260"/>
        <v>0</v>
      </c>
      <c r="P253" s="163"/>
      <c r="Q253" s="163"/>
      <c r="R253" s="166">
        <f t="shared" si="261"/>
        <v>0</v>
      </c>
      <c r="S253" s="163"/>
      <c r="T253" s="163"/>
      <c r="U253" s="167">
        <f t="shared" si="262"/>
        <v>0</v>
      </c>
      <c r="W253" s="148"/>
    </row>
    <row r="254" spans="1:26" ht="22.5" customHeight="1">
      <c r="A254" s="160">
        <v>45288</v>
      </c>
      <c r="B254" s="161" t="s">
        <v>144</v>
      </c>
      <c r="C254" s="162">
        <f t="shared" si="3"/>
        <v>0</v>
      </c>
      <c r="D254" s="162">
        <f t="shared" ref="D254:E254" si="264">N254+Q254+T254</f>
        <v>0</v>
      </c>
      <c r="E254" s="163">
        <f t="shared" si="264"/>
        <v>0</v>
      </c>
      <c r="F254" s="164">
        <f t="shared" si="5"/>
        <v>0</v>
      </c>
      <c r="G254" s="163"/>
      <c r="H254" s="166"/>
      <c r="I254" s="163"/>
      <c r="J254" s="163"/>
      <c r="K254" s="163"/>
      <c r="L254" s="163"/>
      <c r="M254" s="163">
        <f t="shared" si="259"/>
        <v>0</v>
      </c>
      <c r="N254" s="163"/>
      <c r="O254" s="166">
        <f t="shared" si="260"/>
        <v>0</v>
      </c>
      <c r="P254" s="163"/>
      <c r="Q254" s="163"/>
      <c r="R254" s="166">
        <f t="shared" si="261"/>
        <v>0</v>
      </c>
      <c r="S254" s="163"/>
      <c r="T254" s="163"/>
      <c r="U254" s="167">
        <f t="shared" si="262"/>
        <v>0</v>
      </c>
      <c r="W254" s="148"/>
    </row>
    <row r="255" spans="1:26" ht="22.5" customHeight="1">
      <c r="A255" s="160">
        <v>45289</v>
      </c>
      <c r="B255" s="161" t="s">
        <v>145</v>
      </c>
      <c r="C255" s="162">
        <f t="shared" si="3"/>
        <v>0</v>
      </c>
      <c r="D255" s="162">
        <f t="shared" ref="D255:E255" si="265">N255+Q255+T255</f>
        <v>0</v>
      </c>
      <c r="E255" s="163">
        <f t="shared" si="265"/>
        <v>0</v>
      </c>
      <c r="F255" s="164">
        <f t="shared" si="5"/>
        <v>0</v>
      </c>
      <c r="G255" s="163"/>
      <c r="H255" s="166"/>
      <c r="I255" s="163"/>
      <c r="J255" s="163"/>
      <c r="K255" s="163"/>
      <c r="L255" s="163"/>
      <c r="M255" s="163">
        <f t="shared" si="259"/>
        <v>0</v>
      </c>
      <c r="N255" s="163"/>
      <c r="O255" s="166">
        <f t="shared" si="260"/>
        <v>0</v>
      </c>
      <c r="P255" s="163"/>
      <c r="Q255" s="163"/>
      <c r="R255" s="166">
        <f t="shared" si="261"/>
        <v>0</v>
      </c>
      <c r="S255" s="163"/>
      <c r="T255" s="163"/>
      <c r="U255" s="167">
        <f t="shared" si="262"/>
        <v>0</v>
      </c>
      <c r="W255" s="148"/>
    </row>
    <row r="256" spans="1:26" ht="22.5" customHeight="1">
      <c r="A256" s="160">
        <v>45290</v>
      </c>
      <c r="B256" s="161" t="s">
        <v>146</v>
      </c>
      <c r="C256" s="162">
        <f t="shared" si="3"/>
        <v>0</v>
      </c>
      <c r="D256" s="162">
        <f t="shared" ref="D256:E256" si="266">N256+Q256+T256</f>
        <v>0</v>
      </c>
      <c r="E256" s="163">
        <f t="shared" si="266"/>
        <v>0</v>
      </c>
      <c r="F256" s="164">
        <f t="shared" si="5"/>
        <v>0</v>
      </c>
      <c r="G256" s="163"/>
      <c r="H256" s="166"/>
      <c r="I256" s="163"/>
      <c r="J256" s="163"/>
      <c r="K256" s="163"/>
      <c r="L256" s="163"/>
      <c r="M256" s="163">
        <f t="shared" si="259"/>
        <v>0</v>
      </c>
      <c r="N256" s="163"/>
      <c r="O256" s="166">
        <f t="shared" si="260"/>
        <v>0</v>
      </c>
      <c r="P256" s="163"/>
      <c r="Q256" s="163"/>
      <c r="R256" s="166">
        <f t="shared" si="261"/>
        <v>0</v>
      </c>
      <c r="S256" s="163"/>
      <c r="T256" s="163"/>
      <c r="U256" s="167">
        <f t="shared" si="262"/>
        <v>0</v>
      </c>
      <c r="W256" s="148"/>
    </row>
    <row r="257" spans="1:26" ht="22.5" customHeight="1">
      <c r="A257" s="160">
        <v>45291</v>
      </c>
      <c r="B257" s="161" t="s">
        <v>147</v>
      </c>
      <c r="C257" s="162">
        <f t="shared" si="3"/>
        <v>0</v>
      </c>
      <c r="D257" s="162">
        <f t="shared" ref="D257:E257" si="267">N257+Q257+T257</f>
        <v>0</v>
      </c>
      <c r="E257" s="163">
        <f t="shared" si="267"/>
        <v>0</v>
      </c>
      <c r="F257" s="164">
        <f t="shared" si="5"/>
        <v>0</v>
      </c>
      <c r="G257" s="192"/>
      <c r="H257" s="192"/>
      <c r="I257" s="165"/>
      <c r="J257" s="192"/>
      <c r="K257" s="192"/>
      <c r="L257" s="192"/>
      <c r="M257" s="163">
        <f t="shared" si="259"/>
        <v>0</v>
      </c>
      <c r="N257" s="192"/>
      <c r="O257" s="193">
        <f t="shared" si="260"/>
        <v>0</v>
      </c>
      <c r="P257" s="194"/>
      <c r="Q257" s="192"/>
      <c r="R257" s="193">
        <f t="shared" si="261"/>
        <v>0</v>
      </c>
      <c r="S257" s="194"/>
      <c r="T257" s="192"/>
      <c r="U257" s="167">
        <f t="shared" si="262"/>
        <v>0</v>
      </c>
      <c r="W257" s="148"/>
    </row>
    <row r="258" spans="1:26" ht="22.5" customHeight="1">
      <c r="A258" s="160">
        <v>45292</v>
      </c>
      <c r="B258" s="161" t="s">
        <v>148</v>
      </c>
      <c r="C258" s="162">
        <f t="shared" si="3"/>
        <v>0</v>
      </c>
      <c r="D258" s="162">
        <f t="shared" ref="D258:E258" si="268">N258+Q258+T258</f>
        <v>0</v>
      </c>
      <c r="E258" s="163">
        <f t="shared" si="268"/>
        <v>0</v>
      </c>
      <c r="F258" s="164">
        <f t="shared" si="5"/>
        <v>0</v>
      </c>
      <c r="G258" s="195"/>
      <c r="H258" s="195"/>
      <c r="I258" s="196"/>
      <c r="J258" s="195"/>
      <c r="K258" s="195"/>
      <c r="L258" s="195"/>
      <c r="M258" s="197">
        <f t="shared" si="259"/>
        <v>0</v>
      </c>
      <c r="N258" s="195"/>
      <c r="O258" s="198">
        <f t="shared" si="260"/>
        <v>0</v>
      </c>
      <c r="P258" s="195"/>
      <c r="Q258" s="195"/>
      <c r="R258" s="198">
        <f t="shared" si="261"/>
        <v>0</v>
      </c>
      <c r="S258" s="195"/>
      <c r="T258" s="195"/>
      <c r="U258" s="199">
        <f t="shared" si="262"/>
        <v>0</v>
      </c>
      <c r="V258" s="132"/>
      <c r="W258" s="200"/>
      <c r="X258" s="132"/>
      <c r="Y258" s="132"/>
      <c r="Z258" s="132"/>
    </row>
    <row r="259" spans="1:26" ht="22.5" customHeight="1">
      <c r="A259" s="160">
        <v>45293</v>
      </c>
      <c r="B259" s="161" t="s">
        <v>142</v>
      </c>
      <c r="C259" s="162">
        <f t="shared" si="3"/>
        <v>0</v>
      </c>
      <c r="D259" s="162">
        <f t="shared" ref="D259:E259" si="269">N259+Q259+T259</f>
        <v>0</v>
      </c>
      <c r="E259" s="163">
        <f t="shared" si="269"/>
        <v>0</v>
      </c>
      <c r="F259" s="164">
        <f t="shared" si="5"/>
        <v>0</v>
      </c>
      <c r="G259" s="195"/>
      <c r="H259" s="195"/>
      <c r="I259" s="196"/>
      <c r="J259" s="195"/>
      <c r="K259" s="195"/>
      <c r="L259" s="195"/>
      <c r="M259" s="197">
        <f t="shared" si="259"/>
        <v>0</v>
      </c>
      <c r="N259" s="195"/>
      <c r="O259" s="198">
        <f t="shared" si="260"/>
        <v>0</v>
      </c>
      <c r="P259" s="195"/>
      <c r="Q259" s="195"/>
      <c r="R259" s="198">
        <f t="shared" si="261"/>
        <v>0</v>
      </c>
      <c r="S259" s="195"/>
      <c r="T259" s="195"/>
      <c r="U259" s="199">
        <f t="shared" si="262"/>
        <v>0</v>
      </c>
      <c r="V259" s="132"/>
      <c r="W259" s="200"/>
      <c r="X259" s="132"/>
      <c r="Y259" s="132"/>
      <c r="Z259" s="132"/>
    </row>
    <row r="260" spans="1:26" ht="22.5" customHeight="1">
      <c r="A260" s="160">
        <v>45294</v>
      </c>
      <c r="B260" s="161" t="s">
        <v>143</v>
      </c>
      <c r="C260" s="162">
        <f t="shared" si="3"/>
        <v>0</v>
      </c>
      <c r="D260" s="162">
        <f t="shared" ref="D260:E260" si="270">N260+Q260+T260</f>
        <v>0</v>
      </c>
      <c r="E260" s="163">
        <f t="shared" si="270"/>
        <v>0</v>
      </c>
      <c r="F260" s="164">
        <f t="shared" si="5"/>
        <v>0</v>
      </c>
      <c r="G260" s="192"/>
      <c r="H260" s="192"/>
      <c r="I260" s="194"/>
      <c r="J260" s="192"/>
      <c r="K260" s="192"/>
      <c r="L260" s="192"/>
      <c r="M260" s="193">
        <f t="shared" si="259"/>
        <v>0</v>
      </c>
      <c r="N260" s="192"/>
      <c r="O260" s="201">
        <f t="shared" si="260"/>
        <v>0</v>
      </c>
      <c r="P260" s="192"/>
      <c r="Q260" s="192"/>
      <c r="R260" s="201">
        <f t="shared" si="261"/>
        <v>0</v>
      </c>
      <c r="S260" s="192"/>
      <c r="T260" s="192"/>
      <c r="U260" s="202">
        <f t="shared" si="262"/>
        <v>0</v>
      </c>
      <c r="V260" s="132"/>
      <c r="W260" s="200"/>
      <c r="X260" s="132"/>
      <c r="Y260" s="132"/>
      <c r="Z260" s="132"/>
    </row>
    <row r="261" spans="1:26" ht="22.5" customHeight="1">
      <c r="A261" s="160">
        <v>45295</v>
      </c>
      <c r="B261" s="161" t="s">
        <v>144</v>
      </c>
      <c r="C261" s="162">
        <f t="shared" si="3"/>
        <v>0</v>
      </c>
      <c r="D261" s="162">
        <f t="shared" ref="D261:E261" si="271">N261+Q261+T261</f>
        <v>0</v>
      </c>
      <c r="E261" s="163">
        <f t="shared" si="271"/>
        <v>0</v>
      </c>
      <c r="F261" s="164">
        <f t="shared" si="5"/>
        <v>0</v>
      </c>
      <c r="G261" s="192"/>
      <c r="H261" s="192"/>
      <c r="I261" s="194"/>
      <c r="J261" s="192"/>
      <c r="K261" s="192"/>
      <c r="L261" s="192"/>
      <c r="M261" s="193">
        <f t="shared" si="259"/>
        <v>0</v>
      </c>
      <c r="N261" s="192"/>
      <c r="O261" s="201">
        <f t="shared" si="260"/>
        <v>0</v>
      </c>
      <c r="P261" s="192"/>
      <c r="Q261" s="192"/>
      <c r="R261" s="201">
        <f t="shared" si="261"/>
        <v>0</v>
      </c>
      <c r="S261" s="192"/>
      <c r="T261" s="192"/>
      <c r="U261" s="202">
        <f t="shared" si="262"/>
        <v>0</v>
      </c>
      <c r="V261" s="132"/>
      <c r="W261" s="200"/>
      <c r="X261" s="132"/>
      <c r="Y261" s="132"/>
      <c r="Z261" s="132"/>
    </row>
    <row r="262" spans="1:26" ht="22.5" customHeight="1">
      <c r="A262" s="160">
        <v>45296</v>
      </c>
      <c r="B262" s="161" t="s">
        <v>145</v>
      </c>
      <c r="C262" s="162">
        <f t="shared" ref="C262:C372" si="272">I262+P262+S262</f>
        <v>0</v>
      </c>
      <c r="D262" s="162">
        <f t="shared" ref="D262:E262" si="273">N262+Q262+T262</f>
        <v>0</v>
      </c>
      <c r="E262" s="163">
        <f t="shared" si="273"/>
        <v>0</v>
      </c>
      <c r="F262" s="164">
        <f t="shared" ref="F262:F372" si="274">D262*0.4</f>
        <v>0</v>
      </c>
      <c r="G262" s="192"/>
      <c r="H262" s="192"/>
      <c r="I262" s="194"/>
      <c r="J262" s="192"/>
      <c r="K262" s="192"/>
      <c r="L262" s="192"/>
      <c r="M262" s="193">
        <f t="shared" si="259"/>
        <v>0</v>
      </c>
      <c r="N262" s="192"/>
      <c r="O262" s="201">
        <f t="shared" si="260"/>
        <v>0</v>
      </c>
      <c r="P262" s="192"/>
      <c r="Q262" s="192"/>
      <c r="R262" s="201">
        <f t="shared" si="261"/>
        <v>0</v>
      </c>
      <c r="S262" s="192"/>
      <c r="T262" s="192"/>
      <c r="U262" s="202">
        <f t="shared" si="262"/>
        <v>0</v>
      </c>
      <c r="V262" s="132"/>
      <c r="W262" s="200"/>
      <c r="X262" s="132"/>
      <c r="Y262" s="132"/>
      <c r="Z262" s="132"/>
    </row>
    <row r="263" spans="1:26" ht="22.5" customHeight="1">
      <c r="A263" s="160">
        <v>45297</v>
      </c>
      <c r="B263" s="161" t="s">
        <v>146</v>
      </c>
      <c r="C263" s="162">
        <f t="shared" si="272"/>
        <v>0</v>
      </c>
      <c r="D263" s="162">
        <f t="shared" ref="D263:E263" si="275">N263+Q263+T263</f>
        <v>0</v>
      </c>
      <c r="E263" s="163">
        <f t="shared" si="275"/>
        <v>0</v>
      </c>
      <c r="F263" s="164">
        <f t="shared" si="274"/>
        <v>0</v>
      </c>
      <c r="G263" s="192"/>
      <c r="H263" s="192"/>
      <c r="I263" s="194"/>
      <c r="J263" s="192"/>
      <c r="K263" s="192"/>
      <c r="L263" s="192"/>
      <c r="M263" s="193">
        <f t="shared" si="259"/>
        <v>0</v>
      </c>
      <c r="N263" s="192"/>
      <c r="O263" s="201">
        <f t="shared" si="260"/>
        <v>0</v>
      </c>
      <c r="P263" s="192"/>
      <c r="Q263" s="192"/>
      <c r="R263" s="201">
        <f t="shared" si="261"/>
        <v>0</v>
      </c>
      <c r="S263" s="192"/>
      <c r="T263" s="192"/>
      <c r="U263" s="202">
        <f t="shared" si="262"/>
        <v>0</v>
      </c>
      <c r="V263" s="132"/>
      <c r="W263" s="200"/>
      <c r="X263" s="132"/>
      <c r="Y263" s="132"/>
      <c r="Z263" s="132"/>
    </row>
    <row r="264" spans="1:26" ht="22.5" customHeight="1">
      <c r="A264" s="160">
        <v>45298</v>
      </c>
      <c r="B264" s="161" t="s">
        <v>147</v>
      </c>
      <c r="C264" s="162">
        <f t="shared" si="272"/>
        <v>0</v>
      </c>
      <c r="D264" s="162">
        <f t="shared" ref="D264:E264" si="276">N264+Q264+T264</f>
        <v>0</v>
      </c>
      <c r="E264" s="163">
        <f t="shared" si="276"/>
        <v>0</v>
      </c>
      <c r="F264" s="164">
        <f t="shared" si="274"/>
        <v>0</v>
      </c>
      <c r="G264" s="192"/>
      <c r="H264" s="192"/>
      <c r="I264" s="194"/>
      <c r="J264" s="192"/>
      <c r="K264" s="192"/>
      <c r="L264" s="192"/>
      <c r="M264" s="193">
        <f t="shared" si="259"/>
        <v>0</v>
      </c>
      <c r="N264" s="192"/>
      <c r="O264" s="201">
        <f t="shared" si="260"/>
        <v>0</v>
      </c>
      <c r="P264" s="192"/>
      <c r="Q264" s="192"/>
      <c r="R264" s="201">
        <f t="shared" si="261"/>
        <v>0</v>
      </c>
      <c r="S264" s="192"/>
      <c r="T264" s="192"/>
      <c r="U264" s="202">
        <f t="shared" si="262"/>
        <v>0</v>
      </c>
      <c r="V264" s="132"/>
      <c r="W264" s="200"/>
      <c r="X264" s="132"/>
      <c r="Y264" s="132"/>
      <c r="Z264" s="132"/>
    </row>
    <row r="265" spans="1:26" ht="22.5" customHeight="1">
      <c r="A265" s="160">
        <v>45299</v>
      </c>
      <c r="B265" s="161" t="s">
        <v>148</v>
      </c>
      <c r="C265" s="162">
        <f t="shared" si="272"/>
        <v>0</v>
      </c>
      <c r="D265" s="162">
        <f t="shared" ref="D265:E265" si="277">N265+Q265+T265</f>
        <v>0</v>
      </c>
      <c r="E265" s="163">
        <f t="shared" si="277"/>
        <v>0</v>
      </c>
      <c r="F265" s="164">
        <f t="shared" si="274"/>
        <v>0</v>
      </c>
      <c r="G265" s="195"/>
      <c r="H265" s="195"/>
      <c r="I265" s="196"/>
      <c r="J265" s="195"/>
      <c r="K265" s="195"/>
      <c r="L265" s="195"/>
      <c r="M265" s="197">
        <f t="shared" si="259"/>
        <v>0</v>
      </c>
      <c r="N265" s="195"/>
      <c r="O265" s="198">
        <f t="shared" si="260"/>
        <v>0</v>
      </c>
      <c r="P265" s="195"/>
      <c r="Q265" s="195"/>
      <c r="R265" s="198">
        <f t="shared" si="261"/>
        <v>0</v>
      </c>
      <c r="S265" s="195"/>
      <c r="T265" s="195"/>
      <c r="U265" s="199">
        <f t="shared" si="262"/>
        <v>0</v>
      </c>
      <c r="V265" s="203"/>
      <c r="W265" s="200"/>
      <c r="X265" s="203"/>
      <c r="Y265" s="203"/>
      <c r="Z265" s="203"/>
    </row>
    <row r="266" spans="1:26" ht="22.5" customHeight="1">
      <c r="A266" s="160">
        <v>45300</v>
      </c>
      <c r="B266" s="161" t="s">
        <v>142</v>
      </c>
      <c r="C266" s="162">
        <f t="shared" si="272"/>
        <v>0</v>
      </c>
      <c r="D266" s="162">
        <f t="shared" ref="D266:E266" si="278">N266+Q266+T266</f>
        <v>0</v>
      </c>
      <c r="E266" s="163">
        <f t="shared" si="278"/>
        <v>0</v>
      </c>
      <c r="F266" s="164">
        <f t="shared" si="274"/>
        <v>0</v>
      </c>
      <c r="G266" s="192"/>
      <c r="H266" s="192"/>
      <c r="I266" s="194"/>
      <c r="J266" s="192"/>
      <c r="K266" s="192"/>
      <c r="L266" s="192"/>
      <c r="M266" s="193">
        <f t="shared" si="259"/>
        <v>0</v>
      </c>
      <c r="N266" s="192"/>
      <c r="O266" s="201">
        <f t="shared" si="260"/>
        <v>0</v>
      </c>
      <c r="P266" s="192"/>
      <c r="Q266" s="192"/>
      <c r="R266" s="201">
        <f t="shared" si="261"/>
        <v>0</v>
      </c>
      <c r="S266" s="192"/>
      <c r="T266" s="192"/>
      <c r="U266" s="202">
        <f t="shared" si="262"/>
        <v>0</v>
      </c>
      <c r="V266" s="203"/>
      <c r="W266" s="200"/>
      <c r="X266" s="203"/>
      <c r="Y266" s="203"/>
      <c r="Z266" s="203"/>
    </row>
    <row r="267" spans="1:26" ht="22.5" customHeight="1">
      <c r="A267" s="160">
        <v>45301</v>
      </c>
      <c r="B267" s="161" t="s">
        <v>143</v>
      </c>
      <c r="C267" s="162">
        <f t="shared" si="272"/>
        <v>0</v>
      </c>
      <c r="D267" s="162">
        <f t="shared" ref="D267:E267" si="279">N267+Q267+T267</f>
        <v>0</v>
      </c>
      <c r="E267" s="163">
        <f t="shared" si="279"/>
        <v>0</v>
      </c>
      <c r="F267" s="164">
        <f t="shared" si="274"/>
        <v>0</v>
      </c>
      <c r="G267" s="192"/>
      <c r="H267" s="192"/>
      <c r="I267" s="194"/>
      <c r="J267" s="192"/>
      <c r="K267" s="192"/>
      <c r="L267" s="192"/>
      <c r="M267" s="193">
        <f t="shared" si="259"/>
        <v>0</v>
      </c>
      <c r="N267" s="192"/>
      <c r="O267" s="201">
        <f t="shared" si="260"/>
        <v>0</v>
      </c>
      <c r="P267" s="192"/>
      <c r="Q267" s="192"/>
      <c r="R267" s="201">
        <f t="shared" si="261"/>
        <v>0</v>
      </c>
      <c r="S267" s="192"/>
      <c r="T267" s="192"/>
      <c r="U267" s="202">
        <f t="shared" si="262"/>
        <v>0</v>
      </c>
      <c r="V267" s="132"/>
      <c r="W267" s="200"/>
      <c r="X267" s="132"/>
      <c r="Y267" s="132"/>
      <c r="Z267" s="132"/>
    </row>
    <row r="268" spans="1:26" ht="22.5" customHeight="1">
      <c r="A268" s="160">
        <v>45302</v>
      </c>
      <c r="B268" s="161" t="s">
        <v>144</v>
      </c>
      <c r="C268" s="162">
        <f t="shared" si="272"/>
        <v>0</v>
      </c>
      <c r="D268" s="162">
        <f t="shared" ref="D268:E268" si="280">N268+Q268+T268</f>
        <v>0</v>
      </c>
      <c r="E268" s="163">
        <f t="shared" si="280"/>
        <v>0</v>
      </c>
      <c r="F268" s="164">
        <f t="shared" si="274"/>
        <v>0</v>
      </c>
      <c r="G268" s="192"/>
      <c r="H268" s="192"/>
      <c r="I268" s="194"/>
      <c r="J268" s="192"/>
      <c r="K268" s="192"/>
      <c r="L268" s="192"/>
      <c r="M268" s="193">
        <f t="shared" si="259"/>
        <v>0</v>
      </c>
      <c r="N268" s="192"/>
      <c r="O268" s="201">
        <f t="shared" si="260"/>
        <v>0</v>
      </c>
      <c r="P268" s="192"/>
      <c r="Q268" s="192"/>
      <c r="R268" s="201">
        <f t="shared" si="261"/>
        <v>0</v>
      </c>
      <c r="S268" s="192"/>
      <c r="T268" s="192"/>
      <c r="U268" s="202">
        <f t="shared" si="262"/>
        <v>0</v>
      </c>
      <c r="V268" s="132"/>
      <c r="W268" s="200"/>
      <c r="X268" s="132"/>
      <c r="Y268" s="132"/>
      <c r="Z268" s="132"/>
    </row>
    <row r="269" spans="1:26" ht="22.5" customHeight="1">
      <c r="A269" s="160">
        <v>45303</v>
      </c>
      <c r="B269" s="161" t="s">
        <v>145</v>
      </c>
      <c r="C269" s="162">
        <f t="shared" si="272"/>
        <v>0</v>
      </c>
      <c r="D269" s="162">
        <f t="shared" ref="D269:E269" si="281">N269+Q269+T269</f>
        <v>0</v>
      </c>
      <c r="E269" s="163">
        <f t="shared" si="281"/>
        <v>0</v>
      </c>
      <c r="F269" s="164">
        <f t="shared" si="274"/>
        <v>0</v>
      </c>
      <c r="G269" s="192"/>
      <c r="H269" s="192"/>
      <c r="I269" s="194"/>
      <c r="J269" s="192"/>
      <c r="K269" s="192"/>
      <c r="L269" s="192"/>
      <c r="M269" s="193">
        <f t="shared" si="259"/>
        <v>0</v>
      </c>
      <c r="N269" s="192"/>
      <c r="O269" s="201">
        <f t="shared" si="260"/>
        <v>0</v>
      </c>
      <c r="P269" s="192"/>
      <c r="Q269" s="192"/>
      <c r="R269" s="201">
        <f t="shared" si="261"/>
        <v>0</v>
      </c>
      <c r="S269" s="192"/>
      <c r="T269" s="192"/>
      <c r="U269" s="202">
        <f t="shared" si="262"/>
        <v>0</v>
      </c>
      <c r="V269" s="132"/>
      <c r="W269" s="200"/>
      <c r="X269" s="132"/>
      <c r="Y269" s="132"/>
      <c r="Z269" s="132"/>
    </row>
    <row r="270" spans="1:26" ht="22.5" customHeight="1">
      <c r="A270" s="160">
        <v>45304</v>
      </c>
      <c r="B270" s="161" t="s">
        <v>146</v>
      </c>
      <c r="C270" s="162">
        <f t="shared" si="272"/>
        <v>0</v>
      </c>
      <c r="D270" s="162">
        <f t="shared" ref="D270:E270" si="282">N270+Q270+T270</f>
        <v>0</v>
      </c>
      <c r="E270" s="163">
        <f t="shared" si="282"/>
        <v>0</v>
      </c>
      <c r="F270" s="164">
        <f t="shared" si="274"/>
        <v>0</v>
      </c>
      <c r="G270" s="192"/>
      <c r="H270" s="192"/>
      <c r="I270" s="194"/>
      <c r="J270" s="192"/>
      <c r="K270" s="192"/>
      <c r="L270" s="192"/>
      <c r="M270" s="193">
        <f t="shared" si="259"/>
        <v>0</v>
      </c>
      <c r="N270" s="192"/>
      <c r="O270" s="201">
        <f t="shared" si="260"/>
        <v>0</v>
      </c>
      <c r="P270" s="192"/>
      <c r="Q270" s="192"/>
      <c r="R270" s="201">
        <f t="shared" si="261"/>
        <v>0</v>
      </c>
      <c r="S270" s="192"/>
      <c r="T270" s="192"/>
      <c r="U270" s="202">
        <f t="shared" si="262"/>
        <v>0</v>
      </c>
      <c r="V270" s="132"/>
      <c r="W270" s="200"/>
      <c r="X270" s="132"/>
      <c r="Y270" s="132"/>
      <c r="Z270" s="132"/>
    </row>
    <row r="271" spans="1:26" ht="22.5" customHeight="1">
      <c r="A271" s="160">
        <v>45305</v>
      </c>
      <c r="B271" s="161" t="s">
        <v>147</v>
      </c>
      <c r="C271" s="162">
        <f t="shared" si="272"/>
        <v>0</v>
      </c>
      <c r="D271" s="162">
        <f t="shared" ref="D271:E271" si="283">N271+Q271+T271</f>
        <v>0</v>
      </c>
      <c r="E271" s="163">
        <f t="shared" si="283"/>
        <v>0</v>
      </c>
      <c r="F271" s="164">
        <f t="shared" si="274"/>
        <v>0</v>
      </c>
      <c r="G271" s="192"/>
      <c r="H271" s="192"/>
      <c r="I271" s="194"/>
      <c r="J271" s="192"/>
      <c r="K271" s="192"/>
      <c r="L271" s="192"/>
      <c r="M271" s="193">
        <f t="shared" si="259"/>
        <v>0</v>
      </c>
      <c r="N271" s="192"/>
      <c r="O271" s="201">
        <f t="shared" si="260"/>
        <v>0</v>
      </c>
      <c r="P271" s="192"/>
      <c r="Q271" s="192"/>
      <c r="R271" s="201">
        <f t="shared" si="261"/>
        <v>0</v>
      </c>
      <c r="S271" s="192"/>
      <c r="T271" s="192"/>
      <c r="U271" s="202">
        <f t="shared" si="262"/>
        <v>0</v>
      </c>
      <c r="V271" s="132"/>
      <c r="W271" s="200"/>
      <c r="X271" s="132"/>
      <c r="Y271" s="132"/>
      <c r="Z271" s="132"/>
    </row>
    <row r="272" spans="1:26" ht="22.5" customHeight="1">
      <c r="A272" s="160">
        <v>45306</v>
      </c>
      <c r="B272" s="161" t="s">
        <v>148</v>
      </c>
      <c r="C272" s="162">
        <f t="shared" si="272"/>
        <v>0</v>
      </c>
      <c r="D272" s="162">
        <f t="shared" ref="D272:E272" si="284">N272+Q272+T272</f>
        <v>0</v>
      </c>
      <c r="E272" s="163">
        <f t="shared" si="284"/>
        <v>0</v>
      </c>
      <c r="F272" s="164">
        <f t="shared" si="274"/>
        <v>0</v>
      </c>
      <c r="G272" s="195"/>
      <c r="H272" s="195"/>
      <c r="I272" s="196"/>
      <c r="J272" s="195"/>
      <c r="K272" s="195"/>
      <c r="L272" s="195"/>
      <c r="M272" s="197">
        <f t="shared" si="259"/>
        <v>0</v>
      </c>
      <c r="N272" s="195"/>
      <c r="O272" s="198">
        <f t="shared" si="260"/>
        <v>0</v>
      </c>
      <c r="P272" s="195"/>
      <c r="Q272" s="195"/>
      <c r="R272" s="198">
        <f t="shared" si="261"/>
        <v>0</v>
      </c>
      <c r="S272" s="195"/>
      <c r="T272" s="195"/>
      <c r="U272" s="199">
        <f t="shared" si="262"/>
        <v>0</v>
      </c>
      <c r="V272" s="132"/>
      <c r="W272" s="200"/>
      <c r="X272" s="132"/>
      <c r="Y272" s="203"/>
      <c r="Z272" s="203"/>
    </row>
    <row r="273" spans="1:26" ht="22.5" customHeight="1">
      <c r="A273" s="160">
        <v>45307</v>
      </c>
      <c r="B273" s="161" t="s">
        <v>142</v>
      </c>
      <c r="C273" s="162">
        <f t="shared" si="272"/>
        <v>0</v>
      </c>
      <c r="D273" s="162">
        <f t="shared" ref="D273:E273" si="285">N273+Q273+T273</f>
        <v>0</v>
      </c>
      <c r="E273" s="163">
        <f t="shared" si="285"/>
        <v>0</v>
      </c>
      <c r="F273" s="164">
        <f t="shared" si="274"/>
        <v>0</v>
      </c>
      <c r="G273" s="192"/>
      <c r="H273" s="192"/>
      <c r="I273" s="194"/>
      <c r="J273" s="192"/>
      <c r="K273" s="192"/>
      <c r="L273" s="192"/>
      <c r="M273" s="193">
        <f t="shared" si="259"/>
        <v>0</v>
      </c>
      <c r="N273" s="192"/>
      <c r="O273" s="201">
        <f t="shared" si="260"/>
        <v>0</v>
      </c>
      <c r="P273" s="192"/>
      <c r="Q273" s="192"/>
      <c r="R273" s="201">
        <f t="shared" si="261"/>
        <v>0</v>
      </c>
      <c r="S273" s="192"/>
      <c r="T273" s="192"/>
      <c r="U273" s="202">
        <f t="shared" si="262"/>
        <v>0</v>
      </c>
      <c r="V273" s="132"/>
      <c r="W273" s="200"/>
      <c r="X273" s="132"/>
      <c r="Y273" s="132"/>
      <c r="Z273" s="132"/>
    </row>
    <row r="274" spans="1:26" ht="22.5" customHeight="1">
      <c r="A274" s="160">
        <v>45308</v>
      </c>
      <c r="B274" s="161" t="s">
        <v>143</v>
      </c>
      <c r="C274" s="162">
        <f t="shared" si="272"/>
        <v>0</v>
      </c>
      <c r="D274" s="162">
        <f t="shared" ref="D274:E274" si="286">N274+Q274+T274</f>
        <v>0</v>
      </c>
      <c r="E274" s="163">
        <f t="shared" si="286"/>
        <v>0</v>
      </c>
      <c r="F274" s="164">
        <f t="shared" si="274"/>
        <v>0</v>
      </c>
      <c r="G274" s="192"/>
      <c r="H274" s="192"/>
      <c r="I274" s="194"/>
      <c r="J274" s="192"/>
      <c r="K274" s="192"/>
      <c r="L274" s="192"/>
      <c r="M274" s="193">
        <f t="shared" si="259"/>
        <v>0</v>
      </c>
      <c r="N274" s="192"/>
      <c r="O274" s="201">
        <f t="shared" si="260"/>
        <v>0</v>
      </c>
      <c r="P274" s="192"/>
      <c r="Q274" s="192"/>
      <c r="R274" s="201">
        <f t="shared" si="261"/>
        <v>0</v>
      </c>
      <c r="S274" s="192"/>
      <c r="T274" s="192"/>
      <c r="U274" s="202">
        <f t="shared" si="262"/>
        <v>0</v>
      </c>
      <c r="V274" s="132"/>
      <c r="W274" s="200"/>
      <c r="X274" s="132"/>
      <c r="Y274" s="132"/>
      <c r="Z274" s="132"/>
    </row>
    <row r="275" spans="1:26" ht="22.5" customHeight="1">
      <c r="A275" s="160">
        <v>45309</v>
      </c>
      <c r="B275" s="161" t="s">
        <v>144</v>
      </c>
      <c r="C275" s="162">
        <f t="shared" si="272"/>
        <v>0</v>
      </c>
      <c r="D275" s="162">
        <f t="shared" ref="D275:E275" si="287">N275+Q275+T275</f>
        <v>0</v>
      </c>
      <c r="E275" s="163">
        <f t="shared" si="287"/>
        <v>0</v>
      </c>
      <c r="F275" s="164">
        <f t="shared" si="274"/>
        <v>0</v>
      </c>
      <c r="G275" s="192"/>
      <c r="H275" s="192"/>
      <c r="I275" s="194"/>
      <c r="J275" s="192"/>
      <c r="K275" s="192"/>
      <c r="L275" s="192"/>
      <c r="M275" s="193">
        <f t="shared" si="259"/>
        <v>0</v>
      </c>
      <c r="N275" s="192"/>
      <c r="O275" s="201">
        <f t="shared" si="260"/>
        <v>0</v>
      </c>
      <c r="P275" s="192"/>
      <c r="Q275" s="192"/>
      <c r="R275" s="201">
        <f t="shared" si="261"/>
        <v>0</v>
      </c>
      <c r="S275" s="192"/>
      <c r="T275" s="192"/>
      <c r="U275" s="202">
        <f t="shared" si="262"/>
        <v>0</v>
      </c>
      <c r="V275" s="132"/>
      <c r="W275" s="200"/>
      <c r="X275" s="132"/>
      <c r="Y275" s="203"/>
      <c r="Z275" s="203"/>
    </row>
    <row r="276" spans="1:26" ht="22.5" customHeight="1">
      <c r="A276" s="160">
        <v>45310</v>
      </c>
      <c r="B276" s="161" t="s">
        <v>145</v>
      </c>
      <c r="C276" s="162">
        <f t="shared" si="272"/>
        <v>0</v>
      </c>
      <c r="D276" s="162">
        <f t="shared" ref="D276:E276" si="288">N276+Q276+T276</f>
        <v>0</v>
      </c>
      <c r="E276" s="163">
        <f t="shared" si="288"/>
        <v>0</v>
      </c>
      <c r="F276" s="164">
        <f t="shared" si="274"/>
        <v>0</v>
      </c>
      <c r="G276" s="192"/>
      <c r="H276" s="192"/>
      <c r="I276" s="194"/>
      <c r="J276" s="192"/>
      <c r="K276" s="192"/>
      <c r="L276" s="192"/>
      <c r="M276" s="193">
        <f t="shared" si="259"/>
        <v>0</v>
      </c>
      <c r="N276" s="192"/>
      <c r="O276" s="201">
        <f t="shared" si="260"/>
        <v>0</v>
      </c>
      <c r="P276" s="192"/>
      <c r="Q276" s="192"/>
      <c r="R276" s="201">
        <f t="shared" si="261"/>
        <v>0</v>
      </c>
      <c r="S276" s="192"/>
      <c r="T276" s="192"/>
      <c r="U276" s="202">
        <f t="shared" si="262"/>
        <v>0</v>
      </c>
      <c r="V276" s="174" t="s">
        <v>149</v>
      </c>
      <c r="W276" s="175">
        <f>PRESUPUESTO!AE27</f>
        <v>79331.581706159137</v>
      </c>
      <c r="X276" s="132"/>
      <c r="Y276" s="132"/>
      <c r="Z276" s="132"/>
    </row>
    <row r="277" spans="1:26" ht="22.5" customHeight="1">
      <c r="A277" s="160">
        <v>45311</v>
      </c>
      <c r="B277" s="161" t="s">
        <v>146</v>
      </c>
      <c r="C277" s="162">
        <f t="shared" si="272"/>
        <v>0</v>
      </c>
      <c r="D277" s="162">
        <f t="shared" ref="D277:E277" si="289">N277+Q277+T277</f>
        <v>0</v>
      </c>
      <c r="E277" s="163">
        <f t="shared" si="289"/>
        <v>0</v>
      </c>
      <c r="F277" s="164">
        <f t="shared" si="274"/>
        <v>0</v>
      </c>
      <c r="G277" s="192"/>
      <c r="H277" s="192"/>
      <c r="I277" s="194"/>
      <c r="J277" s="192"/>
      <c r="K277" s="192"/>
      <c r="L277" s="192"/>
      <c r="M277" s="193">
        <f t="shared" si="259"/>
        <v>0</v>
      </c>
      <c r="N277" s="192"/>
      <c r="O277" s="201">
        <f t="shared" si="260"/>
        <v>0</v>
      </c>
      <c r="P277" s="192"/>
      <c r="Q277" s="192"/>
      <c r="R277" s="201">
        <f t="shared" si="261"/>
        <v>0</v>
      </c>
      <c r="S277" s="192"/>
      <c r="T277" s="192"/>
      <c r="U277" s="202">
        <f t="shared" si="262"/>
        <v>0</v>
      </c>
      <c r="V277" s="174" t="s">
        <v>150</v>
      </c>
      <c r="W277" s="175">
        <f>SUBTOTAL(9,C251:C281)</f>
        <v>0</v>
      </c>
      <c r="X277" s="132"/>
      <c r="Y277" s="132"/>
      <c r="Z277" s="132"/>
    </row>
    <row r="278" spans="1:26" ht="22.5" customHeight="1">
      <c r="A278" s="160">
        <v>45312</v>
      </c>
      <c r="B278" s="161" t="s">
        <v>147</v>
      </c>
      <c r="C278" s="162">
        <f t="shared" si="272"/>
        <v>0</v>
      </c>
      <c r="D278" s="162">
        <f t="shared" ref="D278:E278" si="290">N278+Q278+T278</f>
        <v>0</v>
      </c>
      <c r="E278" s="163">
        <f t="shared" si="290"/>
        <v>0</v>
      </c>
      <c r="F278" s="164">
        <f t="shared" si="274"/>
        <v>0</v>
      </c>
      <c r="G278" s="192"/>
      <c r="H278" s="192"/>
      <c r="I278" s="194"/>
      <c r="J278" s="192"/>
      <c r="K278" s="192"/>
      <c r="L278" s="192"/>
      <c r="M278" s="193">
        <f t="shared" si="259"/>
        <v>0</v>
      </c>
      <c r="N278" s="192"/>
      <c r="O278" s="201">
        <f t="shared" si="260"/>
        <v>0</v>
      </c>
      <c r="P278" s="192"/>
      <c r="Q278" s="192"/>
      <c r="R278" s="201">
        <f t="shared" si="261"/>
        <v>0</v>
      </c>
      <c r="S278" s="192"/>
      <c r="T278" s="192"/>
      <c r="U278" s="202">
        <f t="shared" si="262"/>
        <v>0</v>
      </c>
      <c r="V278" s="174" t="s">
        <v>151</v>
      </c>
      <c r="W278" s="175">
        <f>SUM(N251:N281)+SUM(Q251:Q281)+SUM(T251:T281)</f>
        <v>0</v>
      </c>
      <c r="X278" s="132"/>
      <c r="Y278" s="132"/>
      <c r="Z278" s="132"/>
    </row>
    <row r="279" spans="1:26" ht="22.5" customHeight="1">
      <c r="A279" s="160">
        <v>45313</v>
      </c>
      <c r="B279" s="161" t="s">
        <v>148</v>
      </c>
      <c r="C279" s="162">
        <f t="shared" si="272"/>
        <v>0</v>
      </c>
      <c r="D279" s="162">
        <f t="shared" ref="D279:E279" si="291">N279+Q279+T279</f>
        <v>0</v>
      </c>
      <c r="E279" s="163">
        <f t="shared" si="291"/>
        <v>0</v>
      </c>
      <c r="F279" s="164">
        <f t="shared" si="274"/>
        <v>0</v>
      </c>
      <c r="G279" s="195"/>
      <c r="H279" s="195"/>
      <c r="I279" s="196"/>
      <c r="J279" s="195"/>
      <c r="K279" s="195"/>
      <c r="L279" s="195"/>
      <c r="M279" s="197">
        <f t="shared" si="259"/>
        <v>0</v>
      </c>
      <c r="N279" s="195"/>
      <c r="O279" s="198">
        <f t="shared" si="260"/>
        <v>0</v>
      </c>
      <c r="P279" s="195"/>
      <c r="Q279" s="195"/>
      <c r="R279" s="198">
        <f t="shared" si="261"/>
        <v>0</v>
      </c>
      <c r="S279" s="195"/>
      <c r="T279" s="195"/>
      <c r="U279" s="199">
        <f t="shared" si="262"/>
        <v>0</v>
      </c>
      <c r="V279" s="174" t="s">
        <v>152</v>
      </c>
      <c r="W279" s="175">
        <f>SUM(O251:O281)+SUM(R251:R281)+SUM(U251:U281)</f>
        <v>0</v>
      </c>
      <c r="X279" s="132"/>
      <c r="Y279" s="132"/>
      <c r="Z279" s="132"/>
    </row>
    <row r="280" spans="1:26" ht="22.5" customHeight="1">
      <c r="A280" s="160">
        <v>45314</v>
      </c>
      <c r="B280" s="161" t="s">
        <v>142</v>
      </c>
      <c r="C280" s="162">
        <f t="shared" si="272"/>
        <v>0</v>
      </c>
      <c r="D280" s="162">
        <f t="shared" ref="D280:E280" si="292">N280+Q280+T280</f>
        <v>0</v>
      </c>
      <c r="E280" s="163">
        <f t="shared" si="292"/>
        <v>0</v>
      </c>
      <c r="F280" s="164">
        <f t="shared" si="274"/>
        <v>0</v>
      </c>
      <c r="G280" s="192"/>
      <c r="H280" s="192"/>
      <c r="I280" s="194"/>
      <c r="J280" s="192"/>
      <c r="K280" s="192"/>
      <c r="L280" s="192"/>
      <c r="M280" s="193">
        <f t="shared" si="259"/>
        <v>0</v>
      </c>
      <c r="N280" s="192"/>
      <c r="O280" s="201">
        <f t="shared" si="260"/>
        <v>0</v>
      </c>
      <c r="P280" s="192"/>
      <c r="Q280" s="192"/>
      <c r="R280" s="201">
        <f t="shared" si="261"/>
        <v>0</v>
      </c>
      <c r="S280" s="192"/>
      <c r="T280" s="192"/>
      <c r="U280" s="202">
        <f t="shared" si="262"/>
        <v>0</v>
      </c>
      <c r="V280" s="176" t="s">
        <v>153</v>
      </c>
      <c r="W280" s="177" t="e">
        <f>W277/COUNTIF(C251:C281,"&lt;&gt;0")</f>
        <v>#DIV/0!</v>
      </c>
      <c r="X280" s="132"/>
      <c r="Y280" s="132"/>
      <c r="Z280" s="132"/>
    </row>
    <row r="281" spans="1:26" ht="22.5" customHeight="1">
      <c r="A281" s="160">
        <v>45315</v>
      </c>
      <c r="B281" s="161" t="s">
        <v>143</v>
      </c>
      <c r="C281" s="178">
        <f t="shared" si="272"/>
        <v>0</v>
      </c>
      <c r="D281" s="178">
        <f t="shared" ref="D281:E281" si="293">N281+Q281+T281</f>
        <v>0</v>
      </c>
      <c r="E281" s="179">
        <f t="shared" si="293"/>
        <v>0</v>
      </c>
      <c r="F281" s="204">
        <f t="shared" si="274"/>
        <v>0</v>
      </c>
      <c r="G281" s="184"/>
      <c r="H281" s="184"/>
      <c r="I281" s="185"/>
      <c r="J281" s="184"/>
      <c r="K281" s="184"/>
      <c r="L281" s="184"/>
      <c r="M281" s="180">
        <f t="shared" si="259"/>
        <v>0</v>
      </c>
      <c r="N281" s="184"/>
      <c r="O281" s="181">
        <f t="shared" si="260"/>
        <v>0</v>
      </c>
      <c r="P281" s="184"/>
      <c r="Q281" s="184"/>
      <c r="R281" s="181">
        <f t="shared" si="261"/>
        <v>0</v>
      </c>
      <c r="S281" s="184"/>
      <c r="T281" s="184"/>
      <c r="U281" s="182">
        <f t="shared" si="262"/>
        <v>0</v>
      </c>
      <c r="V281" s="176" t="s">
        <v>154</v>
      </c>
      <c r="W281" s="177">
        <f>W277/26</f>
        <v>0</v>
      </c>
      <c r="X281" s="132"/>
      <c r="Y281" s="132"/>
      <c r="Z281" s="132"/>
    </row>
    <row r="282" spans="1:26" ht="22.5" customHeight="1">
      <c r="A282" s="160">
        <v>45316</v>
      </c>
      <c r="B282" s="161" t="s">
        <v>144</v>
      </c>
      <c r="C282" s="162">
        <f t="shared" si="272"/>
        <v>0</v>
      </c>
      <c r="D282" s="162">
        <f t="shared" ref="D282:E282" si="294">N282+Q282+T282</f>
        <v>0</v>
      </c>
      <c r="E282" s="163">
        <f t="shared" si="294"/>
        <v>0</v>
      </c>
      <c r="F282" s="164">
        <f t="shared" si="274"/>
        <v>0</v>
      </c>
      <c r="G282" s="192"/>
      <c r="H282" s="192"/>
      <c r="I282" s="205"/>
      <c r="M282" s="193">
        <f t="shared" si="259"/>
        <v>0</v>
      </c>
      <c r="N282" s="192"/>
      <c r="O282" s="201">
        <f t="shared" si="260"/>
        <v>0</v>
      </c>
      <c r="P282" s="192"/>
      <c r="Q282" s="192"/>
      <c r="R282" s="201">
        <f t="shared" si="261"/>
        <v>0</v>
      </c>
      <c r="S282" s="192"/>
      <c r="T282" s="192"/>
      <c r="U282" s="202">
        <f t="shared" si="262"/>
        <v>0</v>
      </c>
      <c r="V282" s="132"/>
      <c r="W282" s="206"/>
      <c r="X282" s="132"/>
      <c r="Y282" s="132"/>
      <c r="Z282" s="132"/>
    </row>
    <row r="283" spans="1:26" ht="22.5" customHeight="1">
      <c r="A283" s="160">
        <v>45317</v>
      </c>
      <c r="B283" s="161" t="s">
        <v>145</v>
      </c>
      <c r="C283" s="162">
        <f t="shared" si="272"/>
        <v>0</v>
      </c>
      <c r="D283" s="162">
        <f t="shared" ref="D283:E283" si="295">N283+Q283+T283</f>
        <v>0</v>
      </c>
      <c r="E283" s="163">
        <f t="shared" si="295"/>
        <v>0</v>
      </c>
      <c r="F283" s="164">
        <f t="shared" si="274"/>
        <v>0</v>
      </c>
      <c r="G283" s="192"/>
      <c r="H283" s="192"/>
      <c r="I283" s="194"/>
      <c r="J283" s="192"/>
      <c r="K283" s="192"/>
      <c r="L283" s="192"/>
      <c r="M283" s="193">
        <f t="shared" si="259"/>
        <v>0</v>
      </c>
      <c r="N283" s="192"/>
      <c r="O283" s="201">
        <f t="shared" si="260"/>
        <v>0</v>
      </c>
      <c r="P283" s="192"/>
      <c r="Q283" s="192"/>
      <c r="R283" s="201">
        <f t="shared" si="261"/>
        <v>0</v>
      </c>
      <c r="S283" s="192"/>
      <c r="T283" s="192"/>
      <c r="U283" s="202">
        <f t="shared" si="262"/>
        <v>0</v>
      </c>
      <c r="V283" s="132"/>
      <c r="W283" s="206"/>
      <c r="X283" s="132"/>
      <c r="Y283" s="132"/>
      <c r="Z283" s="132"/>
    </row>
    <row r="284" spans="1:26" ht="22.5" customHeight="1">
      <c r="A284" s="160">
        <v>45318</v>
      </c>
      <c r="B284" s="161" t="s">
        <v>146</v>
      </c>
      <c r="C284" s="162">
        <f t="shared" si="272"/>
        <v>0</v>
      </c>
      <c r="D284" s="162">
        <f t="shared" ref="D284:E284" si="296">N284+Q284+T284</f>
        <v>0</v>
      </c>
      <c r="E284" s="163">
        <f t="shared" si="296"/>
        <v>0</v>
      </c>
      <c r="F284" s="164">
        <f t="shared" si="274"/>
        <v>0</v>
      </c>
      <c r="G284" s="192"/>
      <c r="H284" s="192"/>
      <c r="I284" s="194"/>
      <c r="J284" s="192"/>
      <c r="K284" s="192"/>
      <c r="L284" s="192"/>
      <c r="M284" s="193">
        <f t="shared" si="259"/>
        <v>0</v>
      </c>
      <c r="N284" s="192"/>
      <c r="O284" s="201">
        <f t="shared" si="260"/>
        <v>0</v>
      </c>
      <c r="P284" s="192"/>
      <c r="Q284" s="192"/>
      <c r="R284" s="201">
        <f t="shared" si="261"/>
        <v>0</v>
      </c>
      <c r="S284" s="192"/>
      <c r="T284" s="192"/>
      <c r="U284" s="202">
        <f t="shared" si="262"/>
        <v>0</v>
      </c>
      <c r="V284" s="132"/>
      <c r="W284" s="206"/>
      <c r="X284" s="132"/>
      <c r="Y284" s="132"/>
      <c r="Z284" s="132"/>
    </row>
    <row r="285" spans="1:26" ht="22.5" customHeight="1">
      <c r="A285" s="160">
        <v>45319</v>
      </c>
      <c r="B285" s="161" t="s">
        <v>147</v>
      </c>
      <c r="C285" s="162">
        <f t="shared" si="272"/>
        <v>0</v>
      </c>
      <c r="D285" s="162">
        <f t="shared" ref="D285:E285" si="297">N285+Q285+T285</f>
        <v>0</v>
      </c>
      <c r="E285" s="163">
        <f t="shared" si="297"/>
        <v>0</v>
      </c>
      <c r="F285" s="164">
        <f t="shared" si="274"/>
        <v>0</v>
      </c>
      <c r="G285" s="192"/>
      <c r="H285" s="192"/>
      <c r="I285" s="194"/>
      <c r="J285" s="192"/>
      <c r="K285" s="192"/>
      <c r="L285" s="192"/>
      <c r="M285" s="193">
        <f t="shared" si="259"/>
        <v>0</v>
      </c>
      <c r="N285" s="192"/>
      <c r="O285" s="201">
        <f t="shared" si="260"/>
        <v>0</v>
      </c>
      <c r="P285" s="192"/>
      <c r="Q285" s="192"/>
      <c r="R285" s="201">
        <f t="shared" si="261"/>
        <v>0</v>
      </c>
      <c r="S285" s="192"/>
      <c r="T285" s="192"/>
      <c r="U285" s="202">
        <f t="shared" si="262"/>
        <v>0</v>
      </c>
      <c r="V285" s="132"/>
      <c r="W285" s="206"/>
      <c r="X285" s="132"/>
      <c r="Y285" s="132"/>
      <c r="Z285" s="132"/>
    </row>
    <row r="286" spans="1:26" ht="22.5" customHeight="1">
      <c r="A286" s="160">
        <v>45320</v>
      </c>
      <c r="B286" s="161" t="s">
        <v>148</v>
      </c>
      <c r="C286" s="162">
        <f t="shared" si="272"/>
        <v>0</v>
      </c>
      <c r="D286" s="162">
        <f t="shared" ref="D286:E286" si="298">N286+Q286+T286</f>
        <v>0</v>
      </c>
      <c r="E286" s="163">
        <f t="shared" si="298"/>
        <v>0</v>
      </c>
      <c r="F286" s="164">
        <f t="shared" si="274"/>
        <v>0</v>
      </c>
      <c r="G286" s="192"/>
      <c r="H286" s="192"/>
      <c r="I286" s="194"/>
      <c r="J286" s="192"/>
      <c r="K286" s="192"/>
      <c r="L286" s="192"/>
      <c r="M286" s="193">
        <f t="shared" si="259"/>
        <v>0</v>
      </c>
      <c r="N286" s="192"/>
      <c r="O286" s="201">
        <f t="shared" si="260"/>
        <v>0</v>
      </c>
      <c r="P286" s="192"/>
      <c r="Q286" s="192"/>
      <c r="R286" s="201">
        <f t="shared" si="261"/>
        <v>0</v>
      </c>
      <c r="S286" s="192"/>
      <c r="T286" s="192"/>
      <c r="U286" s="202">
        <f t="shared" si="262"/>
        <v>0</v>
      </c>
      <c r="X286" s="132"/>
      <c r="Y286" s="132"/>
      <c r="Z286" s="132"/>
    </row>
    <row r="287" spans="1:26" ht="22.5" customHeight="1">
      <c r="A287" s="160">
        <v>45321</v>
      </c>
      <c r="B287" s="161" t="s">
        <v>142</v>
      </c>
      <c r="C287" s="162">
        <f t="shared" si="272"/>
        <v>0</v>
      </c>
      <c r="D287" s="162">
        <f t="shared" ref="D287:E287" si="299">N287+Q287+T287</f>
        <v>0</v>
      </c>
      <c r="E287" s="163">
        <f t="shared" si="299"/>
        <v>0</v>
      </c>
      <c r="F287" s="164">
        <f t="shared" si="274"/>
        <v>0</v>
      </c>
      <c r="G287" s="195"/>
      <c r="H287" s="195"/>
      <c r="I287" s="196"/>
      <c r="J287" s="195"/>
      <c r="K287" s="195"/>
      <c r="L287" s="195"/>
      <c r="M287" s="193">
        <f t="shared" si="259"/>
        <v>0</v>
      </c>
      <c r="N287" s="195"/>
      <c r="O287" s="201">
        <f t="shared" si="260"/>
        <v>0</v>
      </c>
      <c r="P287" s="195"/>
      <c r="Q287" s="195"/>
      <c r="R287" s="201">
        <f t="shared" si="261"/>
        <v>0</v>
      </c>
      <c r="S287" s="195"/>
      <c r="T287" s="195"/>
      <c r="U287" s="202">
        <f t="shared" si="262"/>
        <v>0</v>
      </c>
      <c r="X287" s="132"/>
      <c r="Y287" s="132"/>
      <c r="Z287" s="132"/>
    </row>
    <row r="288" spans="1:26" ht="22.5" customHeight="1">
      <c r="A288" s="160">
        <v>45322</v>
      </c>
      <c r="B288" s="161" t="s">
        <v>143</v>
      </c>
      <c r="C288" s="162">
        <f t="shared" si="272"/>
        <v>0</v>
      </c>
      <c r="D288" s="162">
        <f t="shared" ref="D288:E288" si="300">N288+Q288+T288</f>
        <v>0</v>
      </c>
      <c r="E288" s="163">
        <f t="shared" si="300"/>
        <v>0</v>
      </c>
      <c r="F288" s="164">
        <f t="shared" si="274"/>
        <v>0</v>
      </c>
      <c r="G288" s="192"/>
      <c r="H288" s="192"/>
      <c r="I288" s="194"/>
      <c r="J288" s="192"/>
      <c r="K288" s="192"/>
      <c r="L288" s="192"/>
      <c r="M288" s="193">
        <f t="shared" si="259"/>
        <v>0</v>
      </c>
      <c r="N288" s="192"/>
      <c r="O288" s="201">
        <f t="shared" si="260"/>
        <v>0</v>
      </c>
      <c r="P288" s="192"/>
      <c r="Q288" s="192"/>
      <c r="R288" s="193">
        <f t="shared" si="261"/>
        <v>0</v>
      </c>
      <c r="S288" s="194"/>
      <c r="T288" s="192"/>
      <c r="U288" s="202">
        <f t="shared" si="262"/>
        <v>0</v>
      </c>
      <c r="X288" s="132"/>
      <c r="Y288" s="132"/>
      <c r="Z288" s="132"/>
    </row>
    <row r="289" spans="1:23" ht="22.5" customHeight="1">
      <c r="A289" s="160">
        <v>45323</v>
      </c>
      <c r="B289" s="161" t="s">
        <v>144</v>
      </c>
      <c r="C289" s="162">
        <f t="shared" si="272"/>
        <v>0</v>
      </c>
      <c r="D289" s="162">
        <f t="shared" ref="D289:E289" si="301">N289+Q289+T289</f>
        <v>0</v>
      </c>
      <c r="E289" s="163">
        <f t="shared" si="301"/>
        <v>0</v>
      </c>
      <c r="F289" s="164">
        <f t="shared" si="274"/>
        <v>0</v>
      </c>
      <c r="G289" s="192"/>
      <c r="H289" s="192"/>
      <c r="I289" s="194"/>
      <c r="J289" s="192"/>
      <c r="K289" s="192"/>
      <c r="L289" s="192"/>
      <c r="M289" s="193">
        <f t="shared" si="259"/>
        <v>0</v>
      </c>
      <c r="N289" s="192"/>
      <c r="O289" s="201">
        <f t="shared" si="260"/>
        <v>0</v>
      </c>
      <c r="P289" s="192"/>
      <c r="Q289" s="192"/>
      <c r="R289" s="201">
        <f t="shared" si="261"/>
        <v>0</v>
      </c>
      <c r="S289" s="192"/>
      <c r="T289" s="192"/>
      <c r="U289" s="202">
        <f t="shared" si="262"/>
        <v>0</v>
      </c>
      <c r="W289" s="148"/>
    </row>
    <row r="290" spans="1:23" ht="22.5" customHeight="1">
      <c r="A290" s="160">
        <v>45324</v>
      </c>
      <c r="B290" s="161" t="s">
        <v>145</v>
      </c>
      <c r="C290" s="162">
        <f t="shared" si="272"/>
        <v>0</v>
      </c>
      <c r="D290" s="162">
        <f t="shared" ref="D290:E290" si="302">N290+Q290+T290</f>
        <v>0</v>
      </c>
      <c r="E290" s="163">
        <f t="shared" si="302"/>
        <v>0</v>
      </c>
      <c r="F290" s="164">
        <f t="shared" si="274"/>
        <v>0</v>
      </c>
      <c r="G290" s="192"/>
      <c r="H290" s="192"/>
      <c r="I290" s="194"/>
      <c r="J290" s="192"/>
      <c r="K290" s="192"/>
      <c r="L290" s="192"/>
      <c r="M290" s="193">
        <f t="shared" si="259"/>
        <v>0</v>
      </c>
      <c r="N290" s="192"/>
      <c r="O290" s="201">
        <f t="shared" si="260"/>
        <v>0</v>
      </c>
      <c r="P290" s="192"/>
      <c r="Q290" s="192"/>
      <c r="R290" s="201">
        <f t="shared" si="261"/>
        <v>0</v>
      </c>
      <c r="S290" s="192"/>
      <c r="T290" s="192"/>
      <c r="U290" s="202">
        <f t="shared" si="262"/>
        <v>0</v>
      </c>
      <c r="W290" s="148"/>
    </row>
    <row r="291" spans="1:23" ht="22.5" customHeight="1">
      <c r="A291" s="160">
        <v>45325</v>
      </c>
      <c r="B291" s="161" t="s">
        <v>146</v>
      </c>
      <c r="C291" s="162">
        <f t="shared" si="272"/>
        <v>0</v>
      </c>
      <c r="D291" s="162">
        <f t="shared" ref="D291:E291" si="303">N291+Q291+T291</f>
        <v>0</v>
      </c>
      <c r="E291" s="163">
        <f t="shared" si="303"/>
        <v>0</v>
      </c>
      <c r="F291" s="164">
        <f t="shared" si="274"/>
        <v>0</v>
      </c>
      <c r="G291" s="192"/>
      <c r="H291" s="192"/>
      <c r="I291" s="194"/>
      <c r="J291" s="192"/>
      <c r="K291" s="192"/>
      <c r="L291" s="192"/>
      <c r="M291" s="193">
        <f t="shared" si="259"/>
        <v>0</v>
      </c>
      <c r="N291" s="192"/>
      <c r="O291" s="201">
        <f t="shared" si="260"/>
        <v>0</v>
      </c>
      <c r="P291" s="192"/>
      <c r="Q291" s="192"/>
      <c r="R291" s="201">
        <f t="shared" si="261"/>
        <v>0</v>
      </c>
      <c r="S291" s="192"/>
      <c r="T291" s="192"/>
      <c r="U291" s="202">
        <f t="shared" si="262"/>
        <v>0</v>
      </c>
      <c r="W291" s="148"/>
    </row>
    <row r="292" spans="1:23" ht="22.5" customHeight="1">
      <c r="A292" s="160">
        <v>45326</v>
      </c>
      <c r="B292" s="161" t="s">
        <v>147</v>
      </c>
      <c r="C292" s="162">
        <f t="shared" si="272"/>
        <v>0</v>
      </c>
      <c r="D292" s="162">
        <f t="shared" ref="D292:E292" si="304">N292+Q292+T292</f>
        <v>0</v>
      </c>
      <c r="E292" s="163">
        <f t="shared" si="304"/>
        <v>0</v>
      </c>
      <c r="F292" s="164">
        <f t="shared" si="274"/>
        <v>0</v>
      </c>
      <c r="G292" s="192"/>
      <c r="H292" s="192"/>
      <c r="I292" s="194"/>
      <c r="J292" s="192"/>
      <c r="K292" s="192"/>
      <c r="L292" s="192"/>
      <c r="M292" s="193">
        <f t="shared" si="259"/>
        <v>0</v>
      </c>
      <c r="N292" s="192"/>
      <c r="O292" s="201">
        <f t="shared" si="260"/>
        <v>0</v>
      </c>
      <c r="P292" s="192"/>
      <c r="Q292" s="192"/>
      <c r="R292" s="201">
        <f t="shared" si="261"/>
        <v>0</v>
      </c>
      <c r="S292" s="192"/>
      <c r="T292" s="192"/>
      <c r="U292" s="202">
        <f t="shared" si="262"/>
        <v>0</v>
      </c>
      <c r="W292" s="148"/>
    </row>
    <row r="293" spans="1:23" ht="22.5" customHeight="1">
      <c r="A293" s="160">
        <v>45327</v>
      </c>
      <c r="B293" s="161" t="s">
        <v>148</v>
      </c>
      <c r="C293" s="162">
        <f t="shared" si="272"/>
        <v>0</v>
      </c>
      <c r="D293" s="162">
        <f t="shared" ref="D293:E293" si="305">N293+Q293+T293</f>
        <v>0</v>
      </c>
      <c r="E293" s="163">
        <f t="shared" si="305"/>
        <v>0</v>
      </c>
      <c r="F293" s="164">
        <f t="shared" si="274"/>
        <v>0</v>
      </c>
      <c r="G293" s="192"/>
      <c r="H293" s="192"/>
      <c r="I293" s="194"/>
      <c r="J293" s="192"/>
      <c r="K293" s="192"/>
      <c r="L293" s="192"/>
      <c r="M293" s="193">
        <f t="shared" si="259"/>
        <v>0</v>
      </c>
      <c r="N293" s="192"/>
      <c r="O293" s="201">
        <f t="shared" si="260"/>
        <v>0</v>
      </c>
      <c r="P293" s="192"/>
      <c r="Q293" s="192"/>
      <c r="R293" s="201">
        <f t="shared" si="261"/>
        <v>0</v>
      </c>
      <c r="S293" s="192"/>
      <c r="T293" s="192"/>
      <c r="U293" s="202">
        <f t="shared" si="262"/>
        <v>0</v>
      </c>
      <c r="W293" s="148"/>
    </row>
    <row r="294" spans="1:23" ht="22.5" customHeight="1">
      <c r="A294" s="160">
        <v>45328</v>
      </c>
      <c r="B294" s="161" t="s">
        <v>142</v>
      </c>
      <c r="C294" s="162">
        <f t="shared" si="272"/>
        <v>0</v>
      </c>
      <c r="D294" s="162">
        <f t="shared" ref="D294:E294" si="306">N294+Q294+T294</f>
        <v>0</v>
      </c>
      <c r="E294" s="163">
        <f t="shared" si="306"/>
        <v>0</v>
      </c>
      <c r="F294" s="164">
        <f t="shared" si="274"/>
        <v>0</v>
      </c>
      <c r="G294" s="192"/>
      <c r="H294" s="192"/>
      <c r="I294" s="194"/>
      <c r="J294" s="192"/>
      <c r="K294" s="192"/>
      <c r="L294" s="192"/>
      <c r="M294" s="193">
        <f t="shared" si="259"/>
        <v>0</v>
      </c>
      <c r="N294" s="192"/>
      <c r="O294" s="201">
        <f t="shared" si="260"/>
        <v>0</v>
      </c>
      <c r="P294" s="192"/>
      <c r="Q294" s="192"/>
      <c r="R294" s="201">
        <f t="shared" si="261"/>
        <v>0</v>
      </c>
      <c r="S294" s="192"/>
      <c r="T294" s="192"/>
      <c r="U294" s="202">
        <f t="shared" si="262"/>
        <v>0</v>
      </c>
      <c r="W294" s="148"/>
    </row>
    <row r="295" spans="1:23" ht="22.5" customHeight="1">
      <c r="A295" s="160">
        <v>45329</v>
      </c>
      <c r="B295" s="161" t="s">
        <v>143</v>
      </c>
      <c r="C295" s="162">
        <f t="shared" si="272"/>
        <v>0</v>
      </c>
      <c r="D295" s="162">
        <f t="shared" ref="D295:E295" si="307">N295+Q295+T295</f>
        <v>0</v>
      </c>
      <c r="E295" s="163">
        <f t="shared" si="307"/>
        <v>0</v>
      </c>
      <c r="F295" s="164">
        <f t="shared" si="274"/>
        <v>0</v>
      </c>
      <c r="G295" s="192"/>
      <c r="H295" s="192"/>
      <c r="I295" s="194"/>
      <c r="J295" s="192"/>
      <c r="K295" s="192"/>
      <c r="L295" s="192"/>
      <c r="M295" s="193">
        <f t="shared" si="259"/>
        <v>0</v>
      </c>
      <c r="N295" s="192"/>
      <c r="O295" s="201">
        <f t="shared" si="260"/>
        <v>0</v>
      </c>
      <c r="P295" s="192"/>
      <c r="Q295" s="192"/>
      <c r="R295" s="201">
        <f t="shared" si="261"/>
        <v>0</v>
      </c>
      <c r="S295" s="192"/>
      <c r="T295" s="192"/>
      <c r="U295" s="202">
        <f t="shared" si="262"/>
        <v>0</v>
      </c>
      <c r="W295" s="148"/>
    </row>
    <row r="296" spans="1:23" ht="22.5" customHeight="1">
      <c r="A296" s="160">
        <v>45330</v>
      </c>
      <c r="B296" s="161" t="s">
        <v>144</v>
      </c>
      <c r="C296" s="162">
        <f t="shared" si="272"/>
        <v>0</v>
      </c>
      <c r="D296" s="162">
        <f t="shared" ref="D296:E296" si="308">N296+Q296+T296</f>
        <v>0</v>
      </c>
      <c r="E296" s="163">
        <f t="shared" si="308"/>
        <v>0</v>
      </c>
      <c r="F296" s="164">
        <f t="shared" si="274"/>
        <v>0</v>
      </c>
      <c r="G296" s="192"/>
      <c r="H296" s="192"/>
      <c r="I296" s="194"/>
      <c r="J296" s="192"/>
      <c r="K296" s="192"/>
      <c r="L296" s="192"/>
      <c r="M296" s="193">
        <f t="shared" si="259"/>
        <v>0</v>
      </c>
      <c r="N296" s="192"/>
      <c r="O296" s="201">
        <f t="shared" si="260"/>
        <v>0</v>
      </c>
      <c r="P296" s="192"/>
      <c r="Q296" s="192"/>
      <c r="R296" s="201">
        <f t="shared" si="261"/>
        <v>0</v>
      </c>
      <c r="S296" s="192"/>
      <c r="T296" s="192"/>
      <c r="U296" s="202">
        <f t="shared" si="262"/>
        <v>0</v>
      </c>
      <c r="W296" s="148"/>
    </row>
    <row r="297" spans="1:23" ht="22.5" customHeight="1">
      <c r="A297" s="160">
        <v>45331</v>
      </c>
      <c r="B297" s="161" t="s">
        <v>145</v>
      </c>
      <c r="C297" s="162">
        <f t="shared" si="272"/>
        <v>0</v>
      </c>
      <c r="D297" s="162">
        <f t="shared" ref="D297:E297" si="309">N297+Q297+T297</f>
        <v>0</v>
      </c>
      <c r="E297" s="163">
        <f t="shared" si="309"/>
        <v>0</v>
      </c>
      <c r="F297" s="164">
        <f t="shared" si="274"/>
        <v>0</v>
      </c>
      <c r="G297" s="192"/>
      <c r="H297" s="192"/>
      <c r="I297" s="194"/>
      <c r="J297" s="192"/>
      <c r="K297" s="192"/>
      <c r="L297" s="192"/>
      <c r="M297" s="193">
        <f t="shared" si="259"/>
        <v>0</v>
      </c>
      <c r="N297" s="192"/>
      <c r="O297" s="201">
        <f t="shared" si="260"/>
        <v>0</v>
      </c>
      <c r="P297" s="192"/>
      <c r="Q297" s="192"/>
      <c r="R297" s="201">
        <f t="shared" si="261"/>
        <v>0</v>
      </c>
      <c r="S297" s="192"/>
      <c r="T297" s="192"/>
      <c r="U297" s="202">
        <f t="shared" si="262"/>
        <v>0</v>
      </c>
      <c r="W297" s="148"/>
    </row>
    <row r="298" spans="1:23" ht="22.5" customHeight="1">
      <c r="A298" s="160">
        <v>45332</v>
      </c>
      <c r="B298" s="161" t="s">
        <v>146</v>
      </c>
      <c r="C298" s="162">
        <f t="shared" si="272"/>
        <v>0</v>
      </c>
      <c r="D298" s="162">
        <f t="shared" ref="D298:E298" si="310">N298+Q298+T298</f>
        <v>0</v>
      </c>
      <c r="E298" s="163">
        <f t="shared" si="310"/>
        <v>0</v>
      </c>
      <c r="F298" s="164">
        <f t="shared" si="274"/>
        <v>0</v>
      </c>
      <c r="G298" s="192"/>
      <c r="H298" s="192"/>
      <c r="I298" s="194"/>
      <c r="J298" s="192"/>
      <c r="K298" s="192"/>
      <c r="L298" s="192"/>
      <c r="M298" s="193">
        <f t="shared" si="259"/>
        <v>0</v>
      </c>
      <c r="N298" s="192"/>
      <c r="O298" s="201">
        <f t="shared" si="260"/>
        <v>0</v>
      </c>
      <c r="P298" s="192"/>
      <c r="Q298" s="192"/>
      <c r="R298" s="201">
        <f t="shared" si="261"/>
        <v>0</v>
      </c>
      <c r="S298" s="192"/>
      <c r="T298" s="192"/>
      <c r="U298" s="202">
        <f t="shared" si="262"/>
        <v>0</v>
      </c>
      <c r="W298" s="148"/>
    </row>
    <row r="299" spans="1:23" ht="22.5" customHeight="1">
      <c r="A299" s="160">
        <v>45333</v>
      </c>
      <c r="B299" s="161" t="s">
        <v>147</v>
      </c>
      <c r="C299" s="162">
        <f t="shared" si="272"/>
        <v>0</v>
      </c>
      <c r="D299" s="162">
        <f t="shared" ref="D299:E299" si="311">N299+Q299+T299</f>
        <v>0</v>
      </c>
      <c r="E299" s="163">
        <f t="shared" si="311"/>
        <v>0</v>
      </c>
      <c r="F299" s="164">
        <f t="shared" si="274"/>
        <v>0</v>
      </c>
      <c r="G299" s="192"/>
      <c r="H299" s="192"/>
      <c r="I299" s="194"/>
      <c r="J299" s="192"/>
      <c r="K299" s="192"/>
      <c r="L299" s="192"/>
      <c r="M299" s="193">
        <f t="shared" si="259"/>
        <v>0</v>
      </c>
      <c r="N299" s="192"/>
      <c r="O299" s="201">
        <f t="shared" si="260"/>
        <v>0</v>
      </c>
      <c r="P299" s="192"/>
      <c r="Q299" s="192"/>
      <c r="R299" s="201">
        <f t="shared" si="261"/>
        <v>0</v>
      </c>
      <c r="S299" s="192"/>
      <c r="T299" s="192"/>
      <c r="U299" s="202">
        <f t="shared" si="262"/>
        <v>0</v>
      </c>
      <c r="W299" s="148"/>
    </row>
    <row r="300" spans="1:23" ht="22.5" customHeight="1">
      <c r="A300" s="160">
        <v>45334</v>
      </c>
      <c r="B300" s="161" t="s">
        <v>148</v>
      </c>
      <c r="C300" s="162">
        <f t="shared" si="272"/>
        <v>0</v>
      </c>
      <c r="D300" s="162">
        <f t="shared" ref="D300:E300" si="312">N300+Q300+T300</f>
        <v>0</v>
      </c>
      <c r="E300" s="163">
        <f t="shared" si="312"/>
        <v>0</v>
      </c>
      <c r="F300" s="164">
        <f t="shared" si="274"/>
        <v>0</v>
      </c>
      <c r="G300" s="192"/>
      <c r="H300" s="192"/>
      <c r="I300" s="194"/>
      <c r="J300" s="192"/>
      <c r="K300" s="192"/>
      <c r="L300" s="192"/>
      <c r="M300" s="207">
        <f t="shared" si="259"/>
        <v>0</v>
      </c>
      <c r="N300" s="192"/>
      <c r="O300" s="201">
        <f t="shared" si="260"/>
        <v>0</v>
      </c>
      <c r="P300" s="192"/>
      <c r="Q300" s="192"/>
      <c r="R300" s="201">
        <f t="shared" si="261"/>
        <v>0</v>
      </c>
      <c r="S300" s="192"/>
      <c r="T300" s="192"/>
      <c r="U300" s="202">
        <f t="shared" si="262"/>
        <v>0</v>
      </c>
      <c r="W300" s="148"/>
    </row>
    <row r="301" spans="1:23" ht="22.5" customHeight="1">
      <c r="A301" s="160">
        <v>45335</v>
      </c>
      <c r="B301" s="161" t="s">
        <v>142</v>
      </c>
      <c r="C301" s="162">
        <f t="shared" si="272"/>
        <v>0</v>
      </c>
      <c r="D301" s="162">
        <f t="shared" ref="D301:E301" si="313">N301+Q301+T301</f>
        <v>0</v>
      </c>
      <c r="E301" s="163">
        <f t="shared" si="313"/>
        <v>0</v>
      </c>
      <c r="F301" s="164">
        <f t="shared" si="274"/>
        <v>0</v>
      </c>
      <c r="G301" s="195"/>
      <c r="H301" s="195"/>
      <c r="I301" s="208"/>
      <c r="J301" s="193"/>
      <c r="K301" s="193"/>
      <c r="L301" s="193"/>
      <c r="M301" s="193">
        <f t="shared" si="259"/>
        <v>0</v>
      </c>
      <c r="N301" s="193"/>
      <c r="O301" s="201">
        <f t="shared" si="260"/>
        <v>0</v>
      </c>
      <c r="P301" s="209"/>
      <c r="Q301" s="209"/>
      <c r="R301" s="201">
        <f t="shared" si="261"/>
        <v>0</v>
      </c>
      <c r="S301" s="209"/>
      <c r="T301" s="209"/>
      <c r="U301" s="202">
        <f t="shared" si="262"/>
        <v>0</v>
      </c>
      <c r="W301" s="148"/>
    </row>
    <row r="302" spans="1:23" ht="22.5" customHeight="1">
      <c r="A302" s="160">
        <v>45336</v>
      </c>
      <c r="B302" s="161" t="s">
        <v>143</v>
      </c>
      <c r="C302" s="162">
        <f t="shared" si="272"/>
        <v>0</v>
      </c>
      <c r="D302" s="162">
        <f t="shared" ref="D302:E302" si="314">N302+Q302+T302</f>
        <v>0</v>
      </c>
      <c r="E302" s="163">
        <f t="shared" si="314"/>
        <v>0</v>
      </c>
      <c r="F302" s="164">
        <f t="shared" si="274"/>
        <v>0</v>
      </c>
      <c r="G302" s="192"/>
      <c r="H302" s="192"/>
      <c r="I302" s="194"/>
      <c r="J302" s="192"/>
      <c r="K302" s="192"/>
      <c r="L302" s="192"/>
      <c r="M302" s="193">
        <f t="shared" si="259"/>
        <v>0</v>
      </c>
      <c r="N302" s="192"/>
      <c r="O302" s="201">
        <f t="shared" si="260"/>
        <v>0</v>
      </c>
      <c r="P302" s="192"/>
      <c r="Q302" s="192"/>
      <c r="R302" s="201">
        <f t="shared" si="261"/>
        <v>0</v>
      </c>
      <c r="S302" s="192"/>
      <c r="T302" s="192"/>
      <c r="U302" s="202">
        <f t="shared" si="262"/>
        <v>0</v>
      </c>
      <c r="W302" s="148"/>
    </row>
    <row r="303" spans="1:23" ht="22.5" customHeight="1">
      <c r="A303" s="160">
        <v>45337</v>
      </c>
      <c r="B303" s="161" t="s">
        <v>144</v>
      </c>
      <c r="C303" s="162">
        <f t="shared" si="272"/>
        <v>0</v>
      </c>
      <c r="D303" s="162">
        <f t="shared" ref="D303:E303" si="315">N303+Q303+T303</f>
        <v>0</v>
      </c>
      <c r="E303" s="163">
        <f t="shared" si="315"/>
        <v>0</v>
      </c>
      <c r="F303" s="164">
        <f t="shared" si="274"/>
        <v>0</v>
      </c>
      <c r="G303" s="192"/>
      <c r="H303" s="192"/>
      <c r="I303" s="194"/>
      <c r="J303" s="192"/>
      <c r="K303" s="192"/>
      <c r="L303" s="192"/>
      <c r="M303" s="193">
        <f t="shared" si="259"/>
        <v>0</v>
      </c>
      <c r="N303" s="192"/>
      <c r="O303" s="201">
        <f t="shared" si="260"/>
        <v>0</v>
      </c>
      <c r="P303" s="192"/>
      <c r="Q303" s="192"/>
      <c r="R303" s="201">
        <f t="shared" si="261"/>
        <v>0</v>
      </c>
      <c r="S303" s="192"/>
      <c r="T303" s="192"/>
      <c r="U303" s="202">
        <f t="shared" si="262"/>
        <v>0</v>
      </c>
      <c r="W303" s="148"/>
    </row>
    <row r="304" spans="1:23" ht="22.5" customHeight="1">
      <c r="A304" s="160">
        <v>45338</v>
      </c>
      <c r="B304" s="161" t="s">
        <v>145</v>
      </c>
      <c r="C304" s="162">
        <f t="shared" si="272"/>
        <v>0</v>
      </c>
      <c r="D304" s="162">
        <f t="shared" ref="D304:E304" si="316">N304+Q304+T304</f>
        <v>0</v>
      </c>
      <c r="E304" s="163">
        <f t="shared" si="316"/>
        <v>0</v>
      </c>
      <c r="F304" s="164">
        <f t="shared" si="274"/>
        <v>0</v>
      </c>
      <c r="G304" s="192"/>
      <c r="H304" s="192"/>
      <c r="I304" s="194"/>
      <c r="J304" s="192"/>
      <c r="K304" s="192"/>
      <c r="L304" s="192"/>
      <c r="M304" s="193">
        <f t="shared" si="259"/>
        <v>0</v>
      </c>
      <c r="N304" s="192"/>
      <c r="O304" s="201">
        <f t="shared" si="260"/>
        <v>0</v>
      </c>
      <c r="P304" s="192"/>
      <c r="Q304" s="192"/>
      <c r="R304" s="201">
        <f t="shared" si="261"/>
        <v>0</v>
      </c>
      <c r="S304" s="192"/>
      <c r="T304" s="192"/>
      <c r="U304" s="202">
        <f t="shared" si="262"/>
        <v>0</v>
      </c>
      <c r="W304" s="148"/>
    </row>
    <row r="305" spans="1:23" ht="22.5" customHeight="1">
      <c r="A305" s="160">
        <v>45339</v>
      </c>
      <c r="B305" s="161" t="s">
        <v>146</v>
      </c>
      <c r="C305" s="162">
        <f t="shared" si="272"/>
        <v>0</v>
      </c>
      <c r="D305" s="162">
        <f t="shared" ref="D305:E305" si="317">N305+Q305+T305</f>
        <v>0</v>
      </c>
      <c r="E305" s="163">
        <f t="shared" si="317"/>
        <v>0</v>
      </c>
      <c r="F305" s="164">
        <f t="shared" si="274"/>
        <v>0</v>
      </c>
      <c r="G305" s="192"/>
      <c r="H305" s="192"/>
      <c r="I305" s="194"/>
      <c r="J305" s="192"/>
      <c r="K305" s="192"/>
      <c r="L305" s="192"/>
      <c r="M305" s="193">
        <f t="shared" si="259"/>
        <v>0</v>
      </c>
      <c r="N305" s="192"/>
      <c r="O305" s="201">
        <f t="shared" si="260"/>
        <v>0</v>
      </c>
      <c r="P305" s="192"/>
      <c r="Q305" s="192"/>
      <c r="R305" s="201">
        <f t="shared" si="261"/>
        <v>0</v>
      </c>
      <c r="S305" s="192"/>
      <c r="T305" s="192"/>
      <c r="U305" s="202">
        <f t="shared" si="262"/>
        <v>0</v>
      </c>
      <c r="W305" s="148"/>
    </row>
    <row r="306" spans="1:23" ht="22.5" customHeight="1">
      <c r="A306" s="160">
        <v>45340</v>
      </c>
      <c r="B306" s="161" t="s">
        <v>147</v>
      </c>
      <c r="C306" s="162">
        <f t="shared" si="272"/>
        <v>0</v>
      </c>
      <c r="D306" s="162">
        <f t="shared" ref="D306:E306" si="318">N306+Q306+T306</f>
        <v>0</v>
      </c>
      <c r="E306" s="163">
        <f t="shared" si="318"/>
        <v>0</v>
      </c>
      <c r="F306" s="164">
        <f t="shared" si="274"/>
        <v>0</v>
      </c>
      <c r="G306" s="192"/>
      <c r="H306" s="192"/>
      <c r="I306" s="194"/>
      <c r="J306" s="192"/>
      <c r="K306" s="192"/>
      <c r="L306" s="192"/>
      <c r="M306" s="193">
        <f t="shared" si="259"/>
        <v>0</v>
      </c>
      <c r="N306" s="192"/>
      <c r="O306" s="201">
        <f t="shared" si="260"/>
        <v>0</v>
      </c>
      <c r="P306" s="192"/>
      <c r="Q306" s="192"/>
      <c r="R306" s="201">
        <f t="shared" si="261"/>
        <v>0</v>
      </c>
      <c r="S306" s="192"/>
      <c r="T306" s="192"/>
      <c r="U306" s="202">
        <f t="shared" si="262"/>
        <v>0</v>
      </c>
      <c r="W306" s="148"/>
    </row>
    <row r="307" spans="1:23" ht="22.5" customHeight="1">
      <c r="A307" s="160">
        <v>45341</v>
      </c>
      <c r="B307" s="161" t="s">
        <v>148</v>
      </c>
      <c r="C307" s="162">
        <f t="shared" si="272"/>
        <v>0</v>
      </c>
      <c r="D307" s="162">
        <f t="shared" ref="D307:E307" si="319">N307+Q307+T307</f>
        <v>0</v>
      </c>
      <c r="E307" s="163">
        <f t="shared" si="319"/>
        <v>0</v>
      </c>
      <c r="F307" s="164">
        <f t="shared" si="274"/>
        <v>0</v>
      </c>
      <c r="G307" s="192"/>
      <c r="H307" s="192"/>
      <c r="I307" s="194"/>
      <c r="J307" s="192"/>
      <c r="K307" s="192"/>
      <c r="L307" s="192"/>
      <c r="M307" s="193">
        <f t="shared" si="259"/>
        <v>0</v>
      </c>
      <c r="N307" s="192"/>
      <c r="O307" s="201">
        <f t="shared" si="260"/>
        <v>0</v>
      </c>
      <c r="P307" s="192"/>
      <c r="Q307" s="192"/>
      <c r="R307" s="201">
        <f t="shared" si="261"/>
        <v>0</v>
      </c>
      <c r="S307" s="192"/>
      <c r="T307" s="192"/>
      <c r="U307" s="202">
        <f t="shared" si="262"/>
        <v>0</v>
      </c>
      <c r="V307" s="174" t="s">
        <v>149</v>
      </c>
      <c r="W307" s="175">
        <f>PRESUPUESTO!AH27</f>
        <v>81918.586030621169</v>
      </c>
    </row>
    <row r="308" spans="1:23" ht="22.5" customHeight="1">
      <c r="A308" s="160">
        <v>45342</v>
      </c>
      <c r="B308" s="161" t="s">
        <v>142</v>
      </c>
      <c r="C308" s="162">
        <f t="shared" si="272"/>
        <v>0</v>
      </c>
      <c r="D308" s="162">
        <f t="shared" ref="D308:E308" si="320">N308+Q308+T308</f>
        <v>0</v>
      </c>
      <c r="E308" s="163">
        <f t="shared" si="320"/>
        <v>0</v>
      </c>
      <c r="F308" s="164">
        <f t="shared" si="274"/>
        <v>0</v>
      </c>
      <c r="G308" s="195"/>
      <c r="H308" s="195"/>
      <c r="I308" s="196"/>
      <c r="J308" s="195"/>
      <c r="K308" s="195"/>
      <c r="L308" s="195"/>
      <c r="M308" s="193">
        <f t="shared" si="259"/>
        <v>0</v>
      </c>
      <c r="N308" s="192"/>
      <c r="O308" s="201">
        <f t="shared" si="260"/>
        <v>0</v>
      </c>
      <c r="P308" s="192"/>
      <c r="Q308" s="192"/>
      <c r="R308" s="201">
        <f t="shared" si="261"/>
        <v>0</v>
      </c>
      <c r="S308" s="192"/>
      <c r="T308" s="192"/>
      <c r="U308" s="202">
        <f t="shared" si="262"/>
        <v>0</v>
      </c>
      <c r="V308" s="174" t="s">
        <v>150</v>
      </c>
      <c r="W308" s="175">
        <f>SUBTOTAL(9,C282:C312)</f>
        <v>0</v>
      </c>
    </row>
    <row r="309" spans="1:23" ht="22.5" customHeight="1">
      <c r="A309" s="160">
        <v>45343</v>
      </c>
      <c r="B309" s="161" t="s">
        <v>143</v>
      </c>
      <c r="C309" s="162">
        <f t="shared" si="272"/>
        <v>0</v>
      </c>
      <c r="D309" s="162">
        <f t="shared" ref="D309:E309" si="321">N309+Q309+T309</f>
        <v>0</v>
      </c>
      <c r="E309" s="163">
        <f t="shared" si="321"/>
        <v>0</v>
      </c>
      <c r="F309" s="164">
        <f t="shared" si="274"/>
        <v>0</v>
      </c>
      <c r="G309" s="192"/>
      <c r="H309" s="192"/>
      <c r="I309" s="194"/>
      <c r="J309" s="192"/>
      <c r="K309" s="192"/>
      <c r="L309" s="192"/>
      <c r="M309" s="193">
        <f t="shared" si="259"/>
        <v>0</v>
      </c>
      <c r="N309" s="192"/>
      <c r="O309" s="201">
        <f t="shared" si="260"/>
        <v>0</v>
      </c>
      <c r="P309" s="192"/>
      <c r="Q309" s="192"/>
      <c r="R309" s="201">
        <f t="shared" si="261"/>
        <v>0</v>
      </c>
      <c r="S309" s="192"/>
      <c r="T309" s="192"/>
      <c r="U309" s="202">
        <f t="shared" si="262"/>
        <v>0</v>
      </c>
      <c r="V309" s="174" t="s">
        <v>151</v>
      </c>
      <c r="W309" s="175">
        <f>SUM(N282:N312)+SUM(Q282:Q312)+SUM(T282:T312)</f>
        <v>0</v>
      </c>
    </row>
    <row r="310" spans="1:23" ht="22.5" customHeight="1">
      <c r="A310" s="160">
        <v>45344</v>
      </c>
      <c r="B310" s="161" t="s">
        <v>144</v>
      </c>
      <c r="C310" s="162">
        <f t="shared" si="272"/>
        <v>0</v>
      </c>
      <c r="D310" s="162">
        <f t="shared" ref="D310:E310" si="322">N310+Q310+T310</f>
        <v>0</v>
      </c>
      <c r="E310" s="163">
        <f t="shared" si="322"/>
        <v>0</v>
      </c>
      <c r="F310" s="164">
        <f t="shared" si="274"/>
        <v>0</v>
      </c>
      <c r="G310" s="192"/>
      <c r="H310" s="192"/>
      <c r="I310" s="194"/>
      <c r="J310" s="192"/>
      <c r="K310" s="192"/>
      <c r="L310" s="192"/>
      <c r="M310" s="193">
        <f t="shared" si="259"/>
        <v>0</v>
      </c>
      <c r="N310" s="192"/>
      <c r="O310" s="201">
        <f t="shared" si="260"/>
        <v>0</v>
      </c>
      <c r="P310" s="192"/>
      <c r="Q310" s="192"/>
      <c r="R310" s="201">
        <f t="shared" si="261"/>
        <v>0</v>
      </c>
      <c r="S310" s="192"/>
      <c r="T310" s="192"/>
      <c r="U310" s="202">
        <f t="shared" si="262"/>
        <v>0</v>
      </c>
      <c r="V310" s="174" t="s">
        <v>152</v>
      </c>
      <c r="W310" s="175">
        <f>SUM(O282:O312)+SUM(R282:R312)+SUM(U282:U312)</f>
        <v>0</v>
      </c>
    </row>
    <row r="311" spans="1:23" ht="22.5" customHeight="1">
      <c r="A311" s="160">
        <v>45345</v>
      </c>
      <c r="B311" s="161" t="s">
        <v>145</v>
      </c>
      <c r="C311" s="162">
        <f t="shared" si="272"/>
        <v>0</v>
      </c>
      <c r="D311" s="162">
        <f t="shared" ref="D311:E311" si="323">N311+Q311+T311</f>
        <v>0</v>
      </c>
      <c r="E311" s="163">
        <f t="shared" si="323"/>
        <v>0</v>
      </c>
      <c r="F311" s="164">
        <f t="shared" si="274"/>
        <v>0</v>
      </c>
      <c r="G311" s="192"/>
      <c r="H311" s="192"/>
      <c r="I311" s="194"/>
      <c r="J311" s="192"/>
      <c r="K311" s="192"/>
      <c r="L311" s="192"/>
      <c r="M311" s="193">
        <f t="shared" si="259"/>
        <v>0</v>
      </c>
      <c r="N311" s="192"/>
      <c r="O311" s="201">
        <f t="shared" si="260"/>
        <v>0</v>
      </c>
      <c r="P311" s="192"/>
      <c r="Q311" s="192"/>
      <c r="R311" s="201">
        <f t="shared" si="261"/>
        <v>0</v>
      </c>
      <c r="S311" s="192"/>
      <c r="T311" s="192"/>
      <c r="U311" s="202">
        <f t="shared" si="262"/>
        <v>0</v>
      </c>
      <c r="V311" s="176" t="s">
        <v>153</v>
      </c>
      <c r="W311" s="177" t="e">
        <f>W308/COUNTIF(C282:C312,"&lt;&gt;0")</f>
        <v>#DIV/0!</v>
      </c>
    </row>
    <row r="312" spans="1:23" ht="22.5" customHeight="1">
      <c r="A312" s="160">
        <v>45346</v>
      </c>
      <c r="B312" s="161" t="s">
        <v>146</v>
      </c>
      <c r="C312" s="178">
        <f t="shared" si="272"/>
        <v>0</v>
      </c>
      <c r="D312" s="178">
        <f t="shared" ref="D312:E312" si="324">N312+Q312+T312</f>
        <v>0</v>
      </c>
      <c r="E312" s="179">
        <f t="shared" si="324"/>
        <v>0</v>
      </c>
      <c r="F312" s="164">
        <f t="shared" si="274"/>
        <v>0</v>
      </c>
      <c r="G312" s="184"/>
      <c r="H312" s="184"/>
      <c r="I312" s="185"/>
      <c r="J312" s="184"/>
      <c r="K312" s="184"/>
      <c r="L312" s="184"/>
      <c r="M312" s="180">
        <f t="shared" si="259"/>
        <v>0</v>
      </c>
      <c r="N312" s="184"/>
      <c r="O312" s="181">
        <f t="shared" si="260"/>
        <v>0</v>
      </c>
      <c r="P312" s="184"/>
      <c r="Q312" s="184"/>
      <c r="R312" s="181">
        <f t="shared" si="261"/>
        <v>0</v>
      </c>
      <c r="S312" s="184"/>
      <c r="T312" s="184"/>
      <c r="U312" s="182">
        <f t="shared" si="262"/>
        <v>0</v>
      </c>
      <c r="V312" s="176" t="s">
        <v>154</v>
      </c>
      <c r="W312" s="177">
        <f>W308/26</f>
        <v>0</v>
      </c>
    </row>
    <row r="313" spans="1:23" ht="22.5" customHeight="1">
      <c r="A313" s="160">
        <v>45347</v>
      </c>
      <c r="B313" s="161" t="s">
        <v>147</v>
      </c>
      <c r="C313" s="162">
        <f t="shared" si="272"/>
        <v>0</v>
      </c>
      <c r="D313" s="162">
        <f t="shared" ref="D313:E313" si="325">N313+Q313+T313</f>
        <v>0</v>
      </c>
      <c r="E313" s="163">
        <f t="shared" si="325"/>
        <v>0</v>
      </c>
      <c r="F313" s="164">
        <f t="shared" si="274"/>
        <v>0</v>
      </c>
      <c r="G313" s="192"/>
      <c r="H313" s="192"/>
      <c r="I313" s="194"/>
      <c r="J313" s="192"/>
      <c r="K313" s="192"/>
      <c r="L313" s="192"/>
      <c r="M313" s="193">
        <f t="shared" si="259"/>
        <v>0</v>
      </c>
      <c r="N313" s="192"/>
      <c r="O313" s="201">
        <f t="shared" si="260"/>
        <v>0</v>
      </c>
      <c r="P313" s="192"/>
      <c r="Q313" s="192"/>
      <c r="R313" s="201">
        <f t="shared" si="261"/>
        <v>0</v>
      </c>
      <c r="S313" s="192"/>
      <c r="T313" s="192"/>
      <c r="U313" s="202">
        <f t="shared" si="262"/>
        <v>0</v>
      </c>
      <c r="W313" s="148"/>
    </row>
    <row r="314" spans="1:23" ht="22.5" customHeight="1">
      <c r="A314" s="160">
        <v>45348</v>
      </c>
      <c r="B314" s="161" t="s">
        <v>148</v>
      </c>
      <c r="C314" s="162">
        <f t="shared" si="272"/>
        <v>0</v>
      </c>
      <c r="D314" s="162">
        <f t="shared" ref="D314:E314" si="326">N314+Q314+T314</f>
        <v>0</v>
      </c>
      <c r="E314" s="163">
        <f t="shared" si="326"/>
        <v>0</v>
      </c>
      <c r="F314" s="164">
        <f t="shared" si="274"/>
        <v>0</v>
      </c>
      <c r="G314" s="192"/>
      <c r="H314" s="192"/>
      <c r="I314" s="194"/>
      <c r="J314" s="192"/>
      <c r="K314" s="192"/>
      <c r="L314" s="192"/>
      <c r="M314" s="193">
        <f t="shared" si="259"/>
        <v>0</v>
      </c>
      <c r="N314" s="192"/>
      <c r="O314" s="201">
        <f t="shared" si="260"/>
        <v>0</v>
      </c>
      <c r="P314" s="192"/>
      <c r="Q314" s="192"/>
      <c r="R314" s="201">
        <f t="shared" si="261"/>
        <v>0</v>
      </c>
      <c r="S314" s="192"/>
      <c r="T314" s="192"/>
      <c r="U314" s="202">
        <f t="shared" si="262"/>
        <v>0</v>
      </c>
      <c r="V314" s="174"/>
      <c r="W314" s="210"/>
    </row>
    <row r="315" spans="1:23" ht="22.5" customHeight="1">
      <c r="A315" s="160">
        <v>45349</v>
      </c>
      <c r="B315" s="161" t="s">
        <v>142</v>
      </c>
      <c r="C315" s="162">
        <f t="shared" si="272"/>
        <v>0</v>
      </c>
      <c r="D315" s="162">
        <f t="shared" ref="D315:E315" si="327">N315+Q315+T315</f>
        <v>0</v>
      </c>
      <c r="E315" s="163">
        <f t="shared" si="327"/>
        <v>0</v>
      </c>
      <c r="F315" s="164">
        <f t="shared" si="274"/>
        <v>0</v>
      </c>
      <c r="G315" s="192"/>
      <c r="H315" s="192"/>
      <c r="I315" s="194"/>
      <c r="J315" s="192"/>
      <c r="K315" s="192"/>
      <c r="L315" s="192"/>
      <c r="M315" s="193">
        <f t="shared" si="259"/>
        <v>0</v>
      </c>
      <c r="N315" s="192"/>
      <c r="O315" s="201">
        <f t="shared" si="260"/>
        <v>0</v>
      </c>
      <c r="P315" s="192"/>
      <c r="Q315" s="192"/>
      <c r="R315" s="201">
        <f t="shared" si="261"/>
        <v>0</v>
      </c>
      <c r="S315" s="192"/>
      <c r="T315" s="192"/>
      <c r="U315" s="202">
        <f t="shared" si="262"/>
        <v>0</v>
      </c>
      <c r="V315" s="176"/>
      <c r="W315" s="210"/>
    </row>
    <row r="316" spans="1:23" ht="22.5" customHeight="1">
      <c r="A316" s="160">
        <v>45350</v>
      </c>
      <c r="B316" s="161" t="s">
        <v>143</v>
      </c>
      <c r="C316" s="162">
        <f t="shared" si="272"/>
        <v>0</v>
      </c>
      <c r="D316" s="162">
        <f t="shared" ref="D316:E316" si="328">N316+Q316+T316</f>
        <v>0</v>
      </c>
      <c r="E316" s="163">
        <f t="shared" si="328"/>
        <v>0</v>
      </c>
      <c r="F316" s="164">
        <f t="shared" si="274"/>
        <v>0</v>
      </c>
      <c r="G316" s="192"/>
      <c r="H316" s="192"/>
      <c r="I316" s="194"/>
      <c r="J316" s="192"/>
      <c r="K316" s="192"/>
      <c r="L316" s="192"/>
      <c r="M316" s="193">
        <f t="shared" si="259"/>
        <v>0</v>
      </c>
      <c r="N316" s="192"/>
      <c r="O316" s="201">
        <f t="shared" si="260"/>
        <v>0</v>
      </c>
      <c r="P316" s="192"/>
      <c r="Q316" s="192"/>
      <c r="R316" s="201">
        <f t="shared" si="261"/>
        <v>0</v>
      </c>
      <c r="S316" s="192"/>
      <c r="T316" s="192"/>
      <c r="U316" s="202">
        <f t="shared" si="262"/>
        <v>0</v>
      </c>
      <c r="V316" s="176"/>
      <c r="W316" s="210"/>
    </row>
    <row r="317" spans="1:23" ht="22.5" customHeight="1">
      <c r="A317" s="160">
        <v>45351</v>
      </c>
      <c r="B317" s="161" t="s">
        <v>144</v>
      </c>
      <c r="C317" s="162">
        <f t="shared" si="272"/>
        <v>0</v>
      </c>
      <c r="D317" s="162">
        <f t="shared" ref="D317:E317" si="329">N317+Q317+T317</f>
        <v>0</v>
      </c>
      <c r="E317" s="163">
        <f t="shared" si="329"/>
        <v>0</v>
      </c>
      <c r="F317" s="164">
        <f t="shared" si="274"/>
        <v>0</v>
      </c>
      <c r="G317" s="192"/>
      <c r="H317" s="192"/>
      <c r="I317" s="194"/>
      <c r="J317" s="192"/>
      <c r="K317" s="192"/>
      <c r="L317" s="192"/>
      <c r="M317" s="193">
        <f t="shared" si="259"/>
        <v>0</v>
      </c>
      <c r="N317" s="192"/>
      <c r="O317" s="201">
        <f t="shared" si="260"/>
        <v>0</v>
      </c>
      <c r="P317" s="192"/>
      <c r="Q317" s="192"/>
      <c r="R317" s="201">
        <f t="shared" si="261"/>
        <v>0</v>
      </c>
      <c r="S317" s="192"/>
      <c r="T317" s="192"/>
      <c r="U317" s="202">
        <f t="shared" si="262"/>
        <v>0</v>
      </c>
      <c r="W317" s="148"/>
    </row>
    <row r="318" spans="1:23" ht="22.5" customHeight="1">
      <c r="A318" s="160">
        <v>45352</v>
      </c>
      <c r="B318" s="161" t="s">
        <v>145</v>
      </c>
      <c r="C318" s="162">
        <f t="shared" si="272"/>
        <v>0</v>
      </c>
      <c r="D318" s="162">
        <f t="shared" ref="D318:E318" si="330">N318+Q318+T318</f>
        <v>0</v>
      </c>
      <c r="E318" s="163">
        <f t="shared" si="330"/>
        <v>0</v>
      </c>
      <c r="F318" s="164">
        <f t="shared" si="274"/>
        <v>0</v>
      </c>
      <c r="G318" s="192"/>
      <c r="H318" s="192"/>
      <c r="I318" s="194"/>
      <c r="J318" s="192"/>
      <c r="K318" s="192"/>
      <c r="L318" s="192"/>
      <c r="M318" s="193">
        <f t="shared" si="259"/>
        <v>0</v>
      </c>
      <c r="N318" s="192"/>
      <c r="O318" s="201">
        <f t="shared" si="260"/>
        <v>0</v>
      </c>
      <c r="P318" s="192"/>
      <c r="Q318" s="192"/>
      <c r="R318" s="201">
        <f t="shared" si="261"/>
        <v>0</v>
      </c>
      <c r="S318" s="192"/>
      <c r="T318" s="192"/>
      <c r="U318" s="202">
        <f t="shared" si="262"/>
        <v>0</v>
      </c>
      <c r="W318" s="148"/>
    </row>
    <row r="319" spans="1:23" ht="22.5" customHeight="1">
      <c r="A319" s="160">
        <v>45353</v>
      </c>
      <c r="B319" s="161" t="s">
        <v>146</v>
      </c>
      <c r="C319" s="162">
        <f t="shared" si="272"/>
        <v>0</v>
      </c>
      <c r="D319" s="162">
        <f t="shared" ref="D319:E319" si="331">N319+Q319+T319</f>
        <v>0</v>
      </c>
      <c r="E319" s="163">
        <f t="shared" si="331"/>
        <v>0</v>
      </c>
      <c r="F319" s="164">
        <f t="shared" si="274"/>
        <v>0</v>
      </c>
      <c r="G319" s="192"/>
      <c r="H319" s="192"/>
      <c r="I319" s="194"/>
      <c r="J319" s="192"/>
      <c r="K319" s="192"/>
      <c r="L319" s="192"/>
      <c r="M319" s="193">
        <f t="shared" si="259"/>
        <v>0</v>
      </c>
      <c r="N319" s="192"/>
      <c r="O319" s="201">
        <f t="shared" si="260"/>
        <v>0</v>
      </c>
      <c r="P319" s="192"/>
      <c r="Q319" s="192"/>
      <c r="R319" s="201">
        <f t="shared" si="261"/>
        <v>0</v>
      </c>
      <c r="S319" s="192"/>
      <c r="T319" s="192"/>
      <c r="U319" s="202">
        <f t="shared" si="262"/>
        <v>0</v>
      </c>
      <c r="W319" s="148"/>
    </row>
    <row r="320" spans="1:23" ht="22.5" customHeight="1">
      <c r="A320" s="160">
        <v>45354</v>
      </c>
      <c r="B320" s="161" t="s">
        <v>147</v>
      </c>
      <c r="C320" s="162">
        <f t="shared" si="272"/>
        <v>0</v>
      </c>
      <c r="D320" s="162">
        <f t="shared" ref="D320:E320" si="332">N320+Q320+T320</f>
        <v>0</v>
      </c>
      <c r="E320" s="163">
        <f t="shared" si="332"/>
        <v>0</v>
      </c>
      <c r="F320" s="164">
        <f t="shared" si="274"/>
        <v>0</v>
      </c>
      <c r="G320" s="192"/>
      <c r="H320" s="192"/>
      <c r="I320" s="194"/>
      <c r="J320" s="192"/>
      <c r="K320" s="192"/>
      <c r="L320" s="192"/>
      <c r="M320" s="193">
        <f t="shared" si="259"/>
        <v>0</v>
      </c>
      <c r="N320" s="192"/>
      <c r="O320" s="201">
        <f t="shared" si="260"/>
        <v>0</v>
      </c>
      <c r="P320" s="192"/>
      <c r="Q320" s="192"/>
      <c r="R320" s="201">
        <f t="shared" si="261"/>
        <v>0</v>
      </c>
      <c r="S320" s="192"/>
      <c r="T320" s="192"/>
      <c r="U320" s="202">
        <f t="shared" si="262"/>
        <v>0</v>
      </c>
      <c r="W320" s="148"/>
    </row>
    <row r="321" spans="1:23" ht="22.5" customHeight="1">
      <c r="A321" s="160">
        <v>45355</v>
      </c>
      <c r="B321" s="161" t="s">
        <v>148</v>
      </c>
      <c r="C321" s="162">
        <f t="shared" si="272"/>
        <v>0</v>
      </c>
      <c r="D321" s="162">
        <f t="shared" ref="D321:E321" si="333">N321+Q321+T321</f>
        <v>0</v>
      </c>
      <c r="E321" s="163">
        <f t="shared" si="333"/>
        <v>0</v>
      </c>
      <c r="F321" s="164">
        <f t="shared" si="274"/>
        <v>0</v>
      </c>
      <c r="G321" s="192"/>
      <c r="H321" s="192"/>
      <c r="I321" s="194"/>
      <c r="J321" s="192"/>
      <c r="K321" s="192"/>
      <c r="L321" s="192"/>
      <c r="M321" s="193">
        <f t="shared" si="259"/>
        <v>0</v>
      </c>
      <c r="N321" s="192"/>
      <c r="O321" s="201">
        <f t="shared" si="260"/>
        <v>0</v>
      </c>
      <c r="P321" s="192"/>
      <c r="Q321" s="192"/>
      <c r="R321" s="201">
        <f t="shared" si="261"/>
        <v>0</v>
      </c>
      <c r="S321" s="192"/>
      <c r="T321" s="192"/>
      <c r="U321" s="202">
        <f t="shared" si="262"/>
        <v>0</v>
      </c>
      <c r="W321" s="148"/>
    </row>
    <row r="322" spans="1:23" ht="22.5" customHeight="1">
      <c r="A322" s="160">
        <v>45356</v>
      </c>
      <c r="B322" s="161" t="s">
        <v>142</v>
      </c>
      <c r="C322" s="162">
        <f t="shared" si="272"/>
        <v>0</v>
      </c>
      <c r="D322" s="162">
        <f t="shared" ref="D322:E322" si="334">N322+Q322+T322</f>
        <v>0</v>
      </c>
      <c r="E322" s="163">
        <f t="shared" si="334"/>
        <v>0</v>
      </c>
      <c r="F322" s="164">
        <f t="shared" si="274"/>
        <v>0</v>
      </c>
      <c r="G322" s="192"/>
      <c r="H322" s="192"/>
      <c r="I322" s="194"/>
      <c r="J322" s="192"/>
      <c r="K322" s="192"/>
      <c r="L322" s="192"/>
      <c r="M322" s="193">
        <f t="shared" si="259"/>
        <v>0</v>
      </c>
      <c r="N322" s="192"/>
      <c r="O322" s="201">
        <f t="shared" si="260"/>
        <v>0</v>
      </c>
      <c r="P322" s="192"/>
      <c r="Q322" s="192"/>
      <c r="R322" s="201">
        <f t="shared" si="261"/>
        <v>0</v>
      </c>
      <c r="S322" s="192"/>
      <c r="T322" s="192"/>
      <c r="U322" s="202">
        <f t="shared" si="262"/>
        <v>0</v>
      </c>
      <c r="W322" s="148"/>
    </row>
    <row r="323" spans="1:23" ht="22.5" customHeight="1">
      <c r="A323" s="160">
        <v>45357</v>
      </c>
      <c r="B323" s="161" t="s">
        <v>143</v>
      </c>
      <c r="C323" s="162">
        <f t="shared" si="272"/>
        <v>0</v>
      </c>
      <c r="D323" s="162">
        <f t="shared" ref="D323:E323" si="335">N323+Q323+T323</f>
        <v>0</v>
      </c>
      <c r="E323" s="163">
        <f t="shared" si="335"/>
        <v>0</v>
      </c>
      <c r="F323" s="164">
        <f t="shared" si="274"/>
        <v>0</v>
      </c>
      <c r="G323" s="192"/>
      <c r="H323" s="192"/>
      <c r="I323" s="194"/>
      <c r="J323" s="192"/>
      <c r="K323" s="192"/>
      <c r="L323" s="192"/>
      <c r="M323" s="193">
        <f t="shared" si="259"/>
        <v>0</v>
      </c>
      <c r="N323" s="192"/>
      <c r="O323" s="201">
        <f t="shared" si="260"/>
        <v>0</v>
      </c>
      <c r="P323" s="192"/>
      <c r="Q323" s="192"/>
      <c r="R323" s="201">
        <f t="shared" si="261"/>
        <v>0</v>
      </c>
      <c r="S323" s="192"/>
      <c r="T323" s="192"/>
      <c r="U323" s="202">
        <f t="shared" si="262"/>
        <v>0</v>
      </c>
      <c r="W323" s="148"/>
    </row>
    <row r="324" spans="1:23" ht="22.5" customHeight="1">
      <c r="A324" s="160">
        <v>45358</v>
      </c>
      <c r="B324" s="161" t="s">
        <v>144</v>
      </c>
      <c r="C324" s="162">
        <f t="shared" si="272"/>
        <v>0</v>
      </c>
      <c r="D324" s="162">
        <f t="shared" ref="D324:E324" si="336">N324+Q324+T324</f>
        <v>0</v>
      </c>
      <c r="E324" s="163">
        <f t="shared" si="336"/>
        <v>0</v>
      </c>
      <c r="F324" s="164">
        <f t="shared" si="274"/>
        <v>0</v>
      </c>
      <c r="G324" s="192"/>
      <c r="H324" s="192"/>
      <c r="I324" s="194"/>
      <c r="J324" s="192"/>
      <c r="K324" s="192"/>
      <c r="L324" s="192"/>
      <c r="M324" s="193">
        <f t="shared" si="259"/>
        <v>0</v>
      </c>
      <c r="N324" s="192"/>
      <c r="O324" s="201">
        <f t="shared" si="260"/>
        <v>0</v>
      </c>
      <c r="P324" s="192"/>
      <c r="Q324" s="192"/>
      <c r="R324" s="201">
        <f t="shared" si="261"/>
        <v>0</v>
      </c>
      <c r="S324" s="192"/>
      <c r="T324" s="192"/>
      <c r="U324" s="202">
        <f t="shared" si="262"/>
        <v>0</v>
      </c>
      <c r="W324" s="148"/>
    </row>
    <row r="325" spans="1:23" ht="22.5" customHeight="1">
      <c r="A325" s="160">
        <v>45359</v>
      </c>
      <c r="B325" s="161" t="s">
        <v>145</v>
      </c>
      <c r="C325" s="162">
        <f t="shared" si="272"/>
        <v>0</v>
      </c>
      <c r="D325" s="162">
        <f t="shared" ref="D325:E325" si="337">N325+Q325+T325</f>
        <v>0</v>
      </c>
      <c r="E325" s="163">
        <f t="shared" si="337"/>
        <v>0</v>
      </c>
      <c r="F325" s="164">
        <f t="shared" si="274"/>
        <v>0</v>
      </c>
      <c r="G325" s="192"/>
      <c r="H325" s="192"/>
      <c r="I325" s="194"/>
      <c r="J325" s="192"/>
      <c r="K325" s="192"/>
      <c r="L325" s="192"/>
      <c r="M325" s="193">
        <f t="shared" si="259"/>
        <v>0</v>
      </c>
      <c r="N325" s="192"/>
      <c r="O325" s="201">
        <f t="shared" si="260"/>
        <v>0</v>
      </c>
      <c r="P325" s="192"/>
      <c r="Q325" s="192"/>
      <c r="R325" s="201">
        <f t="shared" si="261"/>
        <v>0</v>
      </c>
      <c r="S325" s="192"/>
      <c r="T325" s="192"/>
      <c r="U325" s="202">
        <f t="shared" si="262"/>
        <v>0</v>
      </c>
      <c r="W325" s="148"/>
    </row>
    <row r="326" spans="1:23" ht="22.5" customHeight="1">
      <c r="A326" s="160">
        <v>45360</v>
      </c>
      <c r="B326" s="161" t="s">
        <v>146</v>
      </c>
      <c r="C326" s="162">
        <f t="shared" si="272"/>
        <v>0</v>
      </c>
      <c r="D326" s="162">
        <f t="shared" ref="D326:E326" si="338">N326+Q326+T326</f>
        <v>0</v>
      </c>
      <c r="E326" s="163">
        <f t="shared" si="338"/>
        <v>0</v>
      </c>
      <c r="F326" s="164">
        <f t="shared" si="274"/>
        <v>0</v>
      </c>
      <c r="G326" s="192"/>
      <c r="H326" s="192"/>
      <c r="I326" s="194"/>
      <c r="J326" s="192"/>
      <c r="K326" s="192"/>
      <c r="L326" s="192"/>
      <c r="M326" s="193">
        <f t="shared" si="259"/>
        <v>0</v>
      </c>
      <c r="N326" s="192"/>
      <c r="O326" s="201">
        <f t="shared" si="260"/>
        <v>0</v>
      </c>
      <c r="P326" s="192"/>
      <c r="Q326" s="192"/>
      <c r="R326" s="201">
        <f t="shared" si="261"/>
        <v>0</v>
      </c>
      <c r="S326" s="192"/>
      <c r="T326" s="192"/>
      <c r="U326" s="202">
        <f t="shared" si="262"/>
        <v>0</v>
      </c>
      <c r="W326" s="148"/>
    </row>
    <row r="327" spans="1:23" ht="22.5" customHeight="1">
      <c r="A327" s="160">
        <v>45361</v>
      </c>
      <c r="B327" s="161" t="s">
        <v>147</v>
      </c>
      <c r="C327" s="162">
        <f t="shared" si="272"/>
        <v>0</v>
      </c>
      <c r="D327" s="162">
        <f t="shared" ref="D327:E327" si="339">N327+Q327+T327</f>
        <v>0</v>
      </c>
      <c r="E327" s="163">
        <f t="shared" si="339"/>
        <v>0</v>
      </c>
      <c r="F327" s="164">
        <f t="shared" si="274"/>
        <v>0</v>
      </c>
      <c r="G327" s="192"/>
      <c r="H327" s="192"/>
      <c r="I327" s="194"/>
      <c r="J327" s="192"/>
      <c r="K327" s="192"/>
      <c r="L327" s="192"/>
      <c r="M327" s="193">
        <f t="shared" si="259"/>
        <v>0</v>
      </c>
      <c r="N327" s="192"/>
      <c r="O327" s="201">
        <f t="shared" si="260"/>
        <v>0</v>
      </c>
      <c r="P327" s="192"/>
      <c r="Q327" s="192"/>
      <c r="R327" s="201">
        <f t="shared" si="261"/>
        <v>0</v>
      </c>
      <c r="S327" s="192"/>
      <c r="T327" s="192"/>
      <c r="U327" s="202">
        <f t="shared" si="262"/>
        <v>0</v>
      </c>
      <c r="W327" s="148"/>
    </row>
    <row r="328" spans="1:23" ht="22.5" customHeight="1">
      <c r="A328" s="160">
        <v>45362</v>
      </c>
      <c r="B328" s="161" t="s">
        <v>148</v>
      </c>
      <c r="C328" s="162">
        <f t="shared" si="272"/>
        <v>0</v>
      </c>
      <c r="D328" s="162">
        <f t="shared" ref="D328:E328" si="340">N328+Q328+T328</f>
        <v>0</v>
      </c>
      <c r="E328" s="163">
        <f t="shared" si="340"/>
        <v>0</v>
      </c>
      <c r="F328" s="164">
        <f t="shared" si="274"/>
        <v>0</v>
      </c>
      <c r="G328" s="192"/>
      <c r="H328" s="192"/>
      <c r="I328" s="194"/>
      <c r="J328" s="192"/>
      <c r="K328" s="192"/>
      <c r="L328" s="192"/>
      <c r="M328" s="193">
        <f t="shared" si="259"/>
        <v>0</v>
      </c>
      <c r="N328" s="192"/>
      <c r="O328" s="201">
        <f t="shared" si="260"/>
        <v>0</v>
      </c>
      <c r="P328" s="192"/>
      <c r="Q328" s="192"/>
      <c r="R328" s="201">
        <f t="shared" si="261"/>
        <v>0</v>
      </c>
      <c r="S328" s="192"/>
      <c r="T328" s="192"/>
      <c r="U328" s="202">
        <f t="shared" si="262"/>
        <v>0</v>
      </c>
      <c r="W328" s="148"/>
    </row>
    <row r="329" spans="1:23" ht="22.5" customHeight="1">
      <c r="A329" s="160">
        <v>45363</v>
      </c>
      <c r="B329" s="161" t="s">
        <v>142</v>
      </c>
      <c r="C329" s="162">
        <f t="shared" si="272"/>
        <v>0</v>
      </c>
      <c r="D329" s="162">
        <f t="shared" ref="D329:E329" si="341">N329+Q329+T329</f>
        <v>0</v>
      </c>
      <c r="E329" s="163">
        <f t="shared" si="341"/>
        <v>0</v>
      </c>
      <c r="F329" s="164">
        <f t="shared" si="274"/>
        <v>0</v>
      </c>
      <c r="G329" s="192"/>
      <c r="H329" s="192"/>
      <c r="I329" s="194"/>
      <c r="J329" s="192"/>
      <c r="K329" s="192"/>
      <c r="L329" s="192"/>
      <c r="M329" s="193">
        <f t="shared" si="259"/>
        <v>0</v>
      </c>
      <c r="N329" s="192"/>
      <c r="O329" s="201">
        <f t="shared" si="260"/>
        <v>0</v>
      </c>
      <c r="P329" s="192"/>
      <c r="Q329" s="192"/>
      <c r="R329" s="201">
        <f t="shared" si="261"/>
        <v>0</v>
      </c>
      <c r="S329" s="192"/>
      <c r="T329" s="192"/>
      <c r="U329" s="202">
        <f t="shared" si="262"/>
        <v>0</v>
      </c>
      <c r="W329" s="148"/>
    </row>
    <row r="330" spans="1:23" ht="22.5" customHeight="1">
      <c r="A330" s="160">
        <v>45364</v>
      </c>
      <c r="B330" s="161" t="s">
        <v>143</v>
      </c>
      <c r="C330" s="162">
        <f t="shared" si="272"/>
        <v>0</v>
      </c>
      <c r="D330" s="162">
        <f t="shared" ref="D330:E330" si="342">N330+Q330+T330</f>
        <v>0</v>
      </c>
      <c r="E330" s="163">
        <f t="shared" si="342"/>
        <v>0</v>
      </c>
      <c r="F330" s="164">
        <f t="shared" si="274"/>
        <v>0</v>
      </c>
      <c r="G330" s="192"/>
      <c r="H330" s="192"/>
      <c r="I330" s="194"/>
      <c r="J330" s="192"/>
      <c r="K330" s="192"/>
      <c r="L330" s="192"/>
      <c r="M330" s="193">
        <f t="shared" si="259"/>
        <v>0</v>
      </c>
      <c r="N330" s="192"/>
      <c r="O330" s="201">
        <f t="shared" si="260"/>
        <v>0</v>
      </c>
      <c r="P330" s="192"/>
      <c r="Q330" s="192"/>
      <c r="R330" s="201">
        <f t="shared" si="261"/>
        <v>0</v>
      </c>
      <c r="S330" s="192"/>
      <c r="T330" s="192"/>
      <c r="U330" s="202">
        <f t="shared" si="262"/>
        <v>0</v>
      </c>
      <c r="W330" s="148"/>
    </row>
    <row r="331" spans="1:23" ht="22.5" customHeight="1">
      <c r="A331" s="160">
        <v>45365</v>
      </c>
      <c r="B331" s="161" t="s">
        <v>144</v>
      </c>
      <c r="C331" s="162">
        <f t="shared" si="272"/>
        <v>0</v>
      </c>
      <c r="D331" s="162">
        <f t="shared" ref="D331:E331" si="343">N331+Q331+T331</f>
        <v>0</v>
      </c>
      <c r="E331" s="163">
        <f t="shared" si="343"/>
        <v>0</v>
      </c>
      <c r="F331" s="164">
        <f t="shared" si="274"/>
        <v>0</v>
      </c>
      <c r="G331" s="192"/>
      <c r="H331" s="192"/>
      <c r="I331" s="194"/>
      <c r="J331" s="192"/>
      <c r="K331" s="192"/>
      <c r="L331" s="192"/>
      <c r="M331" s="193">
        <f t="shared" si="259"/>
        <v>0</v>
      </c>
      <c r="N331" s="192"/>
      <c r="O331" s="201">
        <f t="shared" si="260"/>
        <v>0</v>
      </c>
      <c r="P331" s="192"/>
      <c r="Q331" s="192"/>
      <c r="R331" s="201">
        <f t="shared" si="261"/>
        <v>0</v>
      </c>
      <c r="S331" s="192"/>
      <c r="T331" s="192"/>
      <c r="U331" s="202">
        <f t="shared" si="262"/>
        <v>0</v>
      </c>
      <c r="W331" s="148"/>
    </row>
    <row r="332" spans="1:23" ht="22.5" customHeight="1">
      <c r="A332" s="160">
        <v>45366</v>
      </c>
      <c r="B332" s="161" t="s">
        <v>145</v>
      </c>
      <c r="C332" s="162">
        <f t="shared" si="272"/>
        <v>0</v>
      </c>
      <c r="D332" s="162">
        <f t="shared" ref="D332:E332" si="344">N332+Q332+T332</f>
        <v>0</v>
      </c>
      <c r="E332" s="163">
        <f t="shared" si="344"/>
        <v>0</v>
      </c>
      <c r="F332" s="164">
        <f t="shared" si="274"/>
        <v>0</v>
      </c>
      <c r="G332" s="192"/>
      <c r="H332" s="192"/>
      <c r="I332" s="194"/>
      <c r="J332" s="192"/>
      <c r="K332" s="192"/>
      <c r="L332" s="192"/>
      <c r="M332" s="193">
        <f t="shared" si="259"/>
        <v>0</v>
      </c>
      <c r="N332" s="192"/>
      <c r="O332" s="201">
        <f t="shared" si="260"/>
        <v>0</v>
      </c>
      <c r="P332" s="192"/>
      <c r="Q332" s="192"/>
      <c r="R332" s="201">
        <f t="shared" si="261"/>
        <v>0</v>
      </c>
      <c r="S332" s="192"/>
      <c r="T332" s="192"/>
      <c r="U332" s="202">
        <f t="shared" si="262"/>
        <v>0</v>
      </c>
      <c r="W332" s="148"/>
    </row>
    <row r="333" spans="1:23" ht="22.5" customHeight="1">
      <c r="A333" s="160">
        <v>45367</v>
      </c>
      <c r="B333" s="161" t="s">
        <v>146</v>
      </c>
      <c r="C333" s="162">
        <f t="shared" si="272"/>
        <v>0</v>
      </c>
      <c r="D333" s="162">
        <f t="shared" ref="D333:E333" si="345">N333+Q333+T333</f>
        <v>0</v>
      </c>
      <c r="E333" s="163">
        <f t="shared" si="345"/>
        <v>0</v>
      </c>
      <c r="F333" s="164">
        <f t="shared" si="274"/>
        <v>0</v>
      </c>
      <c r="G333" s="192"/>
      <c r="H333" s="192"/>
      <c r="I333" s="194"/>
      <c r="J333" s="192"/>
      <c r="K333" s="192"/>
      <c r="L333" s="192"/>
      <c r="M333" s="193">
        <f t="shared" si="259"/>
        <v>0</v>
      </c>
      <c r="N333" s="192"/>
      <c r="O333" s="201">
        <f t="shared" si="260"/>
        <v>0</v>
      </c>
      <c r="P333" s="192"/>
      <c r="Q333" s="192"/>
      <c r="R333" s="201">
        <f t="shared" si="261"/>
        <v>0</v>
      </c>
      <c r="S333" s="192"/>
      <c r="T333" s="192"/>
      <c r="U333" s="202">
        <f t="shared" si="262"/>
        <v>0</v>
      </c>
      <c r="W333" s="148"/>
    </row>
    <row r="334" spans="1:23" ht="22.5" customHeight="1">
      <c r="A334" s="160">
        <v>45368</v>
      </c>
      <c r="B334" s="161" t="s">
        <v>147</v>
      </c>
      <c r="C334" s="162">
        <f t="shared" si="272"/>
        <v>0</v>
      </c>
      <c r="D334" s="162">
        <f t="shared" ref="D334:E334" si="346">N334+Q334+T334</f>
        <v>0</v>
      </c>
      <c r="E334" s="163">
        <f t="shared" si="346"/>
        <v>0</v>
      </c>
      <c r="F334" s="164">
        <f t="shared" si="274"/>
        <v>0</v>
      </c>
      <c r="G334" s="192"/>
      <c r="H334" s="192"/>
      <c r="I334" s="194"/>
      <c r="J334" s="192"/>
      <c r="K334" s="192"/>
      <c r="L334" s="192"/>
      <c r="M334" s="193">
        <f t="shared" si="259"/>
        <v>0</v>
      </c>
      <c r="N334" s="192"/>
      <c r="O334" s="201">
        <f t="shared" si="260"/>
        <v>0</v>
      </c>
      <c r="P334" s="192"/>
      <c r="Q334" s="192"/>
      <c r="R334" s="201">
        <f t="shared" si="261"/>
        <v>0</v>
      </c>
      <c r="S334" s="192"/>
      <c r="T334" s="192"/>
      <c r="U334" s="202">
        <f t="shared" si="262"/>
        <v>0</v>
      </c>
      <c r="W334" s="148"/>
    </row>
    <row r="335" spans="1:23" ht="22.5" customHeight="1">
      <c r="A335" s="160">
        <v>45369</v>
      </c>
      <c r="B335" s="161" t="s">
        <v>148</v>
      </c>
      <c r="C335" s="162">
        <f t="shared" si="272"/>
        <v>0</v>
      </c>
      <c r="D335" s="162">
        <f t="shared" ref="D335:E335" si="347">N335+Q335+T335</f>
        <v>0</v>
      </c>
      <c r="E335" s="163">
        <f t="shared" si="347"/>
        <v>0</v>
      </c>
      <c r="F335" s="164">
        <f t="shared" si="274"/>
        <v>0</v>
      </c>
      <c r="G335" s="192"/>
      <c r="H335" s="192"/>
      <c r="I335" s="194"/>
      <c r="J335" s="192"/>
      <c r="K335" s="192"/>
      <c r="L335" s="192"/>
      <c r="M335" s="193">
        <f t="shared" si="259"/>
        <v>0</v>
      </c>
      <c r="N335" s="192"/>
      <c r="O335" s="201">
        <f t="shared" si="260"/>
        <v>0</v>
      </c>
      <c r="P335" s="192"/>
      <c r="Q335" s="192"/>
      <c r="R335" s="201">
        <f t="shared" si="261"/>
        <v>0</v>
      </c>
      <c r="S335" s="192"/>
      <c r="T335" s="192"/>
      <c r="U335" s="202">
        <f t="shared" si="262"/>
        <v>0</v>
      </c>
      <c r="V335" s="174" t="s">
        <v>149</v>
      </c>
      <c r="W335" s="175">
        <f>PRESUPUESTO!AK27</f>
        <v>84764.290787529448</v>
      </c>
    </row>
    <row r="336" spans="1:23" ht="22.5" customHeight="1">
      <c r="A336" s="160">
        <v>45370</v>
      </c>
      <c r="B336" s="161" t="s">
        <v>142</v>
      </c>
      <c r="C336" s="162">
        <f t="shared" si="272"/>
        <v>0</v>
      </c>
      <c r="D336" s="162">
        <f t="shared" ref="D336:E336" si="348">N336+Q336+T336</f>
        <v>0</v>
      </c>
      <c r="E336" s="163">
        <f t="shared" si="348"/>
        <v>0</v>
      </c>
      <c r="F336" s="164">
        <f t="shared" si="274"/>
        <v>0</v>
      </c>
      <c r="G336" s="192"/>
      <c r="H336" s="192"/>
      <c r="I336" s="194"/>
      <c r="J336" s="192"/>
      <c r="K336" s="192"/>
      <c r="L336" s="192"/>
      <c r="M336" s="193">
        <f t="shared" si="259"/>
        <v>0</v>
      </c>
      <c r="N336" s="192"/>
      <c r="O336" s="201">
        <f t="shared" si="260"/>
        <v>0</v>
      </c>
      <c r="P336" s="192"/>
      <c r="Q336" s="192"/>
      <c r="R336" s="201">
        <f t="shared" si="261"/>
        <v>0</v>
      </c>
      <c r="S336" s="192"/>
      <c r="T336" s="192"/>
      <c r="U336" s="202">
        <f t="shared" si="262"/>
        <v>0</v>
      </c>
      <c r="V336" s="174" t="s">
        <v>150</v>
      </c>
      <c r="W336" s="175">
        <f>SUBTOTAL(9,C313:C340)</f>
        <v>0</v>
      </c>
    </row>
    <row r="337" spans="1:23" ht="22.5" customHeight="1">
      <c r="A337" s="160">
        <v>45371</v>
      </c>
      <c r="B337" s="161" t="s">
        <v>143</v>
      </c>
      <c r="C337" s="162">
        <f t="shared" si="272"/>
        <v>0</v>
      </c>
      <c r="D337" s="162">
        <f t="shared" ref="D337:E337" si="349">N337+Q337+T337</f>
        <v>0</v>
      </c>
      <c r="E337" s="163">
        <f t="shared" si="349"/>
        <v>0</v>
      </c>
      <c r="F337" s="164">
        <f t="shared" si="274"/>
        <v>0</v>
      </c>
      <c r="G337" s="192"/>
      <c r="H337" s="192"/>
      <c r="I337" s="194"/>
      <c r="J337" s="192"/>
      <c r="K337" s="192"/>
      <c r="L337" s="192"/>
      <c r="M337" s="193">
        <f t="shared" si="259"/>
        <v>0</v>
      </c>
      <c r="N337" s="192"/>
      <c r="O337" s="201">
        <f t="shared" si="260"/>
        <v>0</v>
      </c>
      <c r="P337" s="192"/>
      <c r="Q337" s="192"/>
      <c r="R337" s="201">
        <f t="shared" si="261"/>
        <v>0</v>
      </c>
      <c r="S337" s="192"/>
      <c r="T337" s="192"/>
      <c r="U337" s="202">
        <f t="shared" si="262"/>
        <v>0</v>
      </c>
      <c r="V337" s="174" t="s">
        <v>151</v>
      </c>
      <c r="W337" s="175">
        <f>SUM(N313:N340)+SUM(Q313:Q340)+SUM(T313:T340)</f>
        <v>0</v>
      </c>
    </row>
    <row r="338" spans="1:23" ht="22.5" customHeight="1">
      <c r="A338" s="160">
        <v>45372</v>
      </c>
      <c r="B338" s="161" t="s">
        <v>144</v>
      </c>
      <c r="C338" s="162">
        <f t="shared" si="272"/>
        <v>0</v>
      </c>
      <c r="D338" s="162">
        <f t="shared" ref="D338:E338" si="350">N338+Q338+T338</f>
        <v>0</v>
      </c>
      <c r="E338" s="163">
        <f t="shared" si="350"/>
        <v>0</v>
      </c>
      <c r="F338" s="164">
        <f t="shared" si="274"/>
        <v>0</v>
      </c>
      <c r="G338" s="192"/>
      <c r="H338" s="192"/>
      <c r="I338" s="194"/>
      <c r="J338" s="192"/>
      <c r="K338" s="192"/>
      <c r="L338" s="192"/>
      <c r="M338" s="193">
        <f t="shared" si="259"/>
        <v>0</v>
      </c>
      <c r="N338" s="192"/>
      <c r="O338" s="201">
        <f t="shared" si="260"/>
        <v>0</v>
      </c>
      <c r="P338" s="192"/>
      <c r="Q338" s="192"/>
      <c r="R338" s="201">
        <f t="shared" si="261"/>
        <v>0</v>
      </c>
      <c r="S338" s="192"/>
      <c r="T338" s="192"/>
      <c r="U338" s="202">
        <f t="shared" si="262"/>
        <v>0</v>
      </c>
      <c r="V338" s="174" t="s">
        <v>152</v>
      </c>
      <c r="W338" s="175">
        <f>SUM(O313:O340)+SUM(R313:R340)+SUM(U313:U340)</f>
        <v>0</v>
      </c>
    </row>
    <row r="339" spans="1:23" ht="22.5" customHeight="1">
      <c r="A339" s="160">
        <v>45373</v>
      </c>
      <c r="B339" s="161" t="s">
        <v>145</v>
      </c>
      <c r="C339" s="162">
        <f t="shared" si="272"/>
        <v>0</v>
      </c>
      <c r="D339" s="162">
        <f t="shared" ref="D339:E339" si="351">N339+Q339+T339</f>
        <v>0</v>
      </c>
      <c r="E339" s="163">
        <f t="shared" si="351"/>
        <v>0</v>
      </c>
      <c r="F339" s="164">
        <f t="shared" si="274"/>
        <v>0</v>
      </c>
      <c r="G339" s="192"/>
      <c r="H339" s="192"/>
      <c r="I339" s="194"/>
      <c r="J339" s="192"/>
      <c r="K339" s="192"/>
      <c r="L339" s="192"/>
      <c r="M339" s="193">
        <f t="shared" si="259"/>
        <v>0</v>
      </c>
      <c r="N339" s="192"/>
      <c r="O339" s="201">
        <f t="shared" si="260"/>
        <v>0</v>
      </c>
      <c r="P339" s="192"/>
      <c r="Q339" s="192"/>
      <c r="R339" s="201">
        <f t="shared" si="261"/>
        <v>0</v>
      </c>
      <c r="S339" s="192"/>
      <c r="T339" s="192"/>
      <c r="U339" s="202">
        <f t="shared" si="262"/>
        <v>0</v>
      </c>
      <c r="V339" s="176" t="s">
        <v>153</v>
      </c>
      <c r="W339" s="177" t="e">
        <f>W336/COUNTIF(C313:C340,"&lt;&gt;0")</f>
        <v>#DIV/0!</v>
      </c>
    </row>
    <row r="340" spans="1:23" ht="22.5" customHeight="1">
      <c r="A340" s="160">
        <v>45374</v>
      </c>
      <c r="B340" s="161" t="s">
        <v>146</v>
      </c>
      <c r="C340" s="178">
        <f t="shared" si="272"/>
        <v>0</v>
      </c>
      <c r="D340" s="178">
        <f t="shared" ref="D340:E340" si="352">N340+Q340+T340</f>
        <v>0</v>
      </c>
      <c r="E340" s="179">
        <f t="shared" si="352"/>
        <v>0</v>
      </c>
      <c r="F340" s="164">
        <f t="shared" si="274"/>
        <v>0</v>
      </c>
      <c r="G340" s="184"/>
      <c r="H340" s="184"/>
      <c r="I340" s="185"/>
      <c r="J340" s="184"/>
      <c r="K340" s="184"/>
      <c r="L340" s="184"/>
      <c r="M340" s="180">
        <f t="shared" si="259"/>
        <v>0</v>
      </c>
      <c r="N340" s="184"/>
      <c r="O340" s="181">
        <f t="shared" si="260"/>
        <v>0</v>
      </c>
      <c r="P340" s="184"/>
      <c r="Q340" s="184"/>
      <c r="R340" s="181">
        <f t="shared" si="261"/>
        <v>0</v>
      </c>
      <c r="S340" s="184"/>
      <c r="T340" s="184"/>
      <c r="U340" s="182">
        <f t="shared" si="262"/>
        <v>0</v>
      </c>
      <c r="V340" s="176" t="s">
        <v>154</v>
      </c>
      <c r="W340" s="177">
        <f>W336/26</f>
        <v>0</v>
      </c>
    </row>
    <row r="341" spans="1:23" ht="22.5" customHeight="1">
      <c r="A341" s="160">
        <v>45375</v>
      </c>
      <c r="B341" s="161" t="s">
        <v>147</v>
      </c>
      <c r="C341" s="162">
        <f t="shared" si="272"/>
        <v>0</v>
      </c>
      <c r="D341" s="162">
        <f t="shared" ref="D341:E341" si="353">N341+Q341+T341</f>
        <v>0</v>
      </c>
      <c r="E341" s="163">
        <f t="shared" si="353"/>
        <v>0</v>
      </c>
      <c r="F341" s="164">
        <f t="shared" si="274"/>
        <v>0</v>
      </c>
      <c r="G341" s="192"/>
      <c r="H341" s="192"/>
      <c r="I341" s="194"/>
      <c r="J341" s="192"/>
      <c r="K341" s="192"/>
      <c r="L341" s="192"/>
      <c r="M341" s="193">
        <f t="shared" si="259"/>
        <v>0</v>
      </c>
      <c r="N341" s="192"/>
      <c r="O341" s="201">
        <f t="shared" si="260"/>
        <v>0</v>
      </c>
      <c r="P341" s="192"/>
      <c r="Q341" s="192"/>
      <c r="R341" s="201">
        <f t="shared" si="261"/>
        <v>0</v>
      </c>
      <c r="S341" s="192"/>
      <c r="T341" s="192"/>
      <c r="U341" s="202">
        <f t="shared" si="262"/>
        <v>0</v>
      </c>
      <c r="W341" s="148"/>
    </row>
    <row r="342" spans="1:23" ht="22.5" customHeight="1">
      <c r="A342" s="160">
        <v>45376</v>
      </c>
      <c r="B342" s="161" t="s">
        <v>148</v>
      </c>
      <c r="C342" s="162">
        <f t="shared" si="272"/>
        <v>0</v>
      </c>
      <c r="D342" s="162">
        <f t="shared" ref="D342:E342" si="354">N342+Q342+T342</f>
        <v>0</v>
      </c>
      <c r="E342" s="163">
        <f t="shared" si="354"/>
        <v>0</v>
      </c>
      <c r="F342" s="164">
        <f t="shared" si="274"/>
        <v>0</v>
      </c>
      <c r="G342" s="192"/>
      <c r="H342" s="192"/>
      <c r="I342" s="194"/>
      <c r="J342" s="192"/>
      <c r="K342" s="192"/>
      <c r="L342" s="192"/>
      <c r="M342" s="193">
        <f t="shared" si="259"/>
        <v>0</v>
      </c>
      <c r="N342" s="192"/>
      <c r="O342" s="201">
        <f t="shared" si="260"/>
        <v>0</v>
      </c>
      <c r="P342" s="192"/>
      <c r="Q342" s="192"/>
      <c r="R342" s="201">
        <f t="shared" si="261"/>
        <v>0</v>
      </c>
      <c r="S342" s="192"/>
      <c r="T342" s="192"/>
      <c r="U342" s="202">
        <f t="shared" si="262"/>
        <v>0</v>
      </c>
      <c r="W342" s="148"/>
    </row>
    <row r="343" spans="1:23" ht="22.5" customHeight="1">
      <c r="A343" s="160">
        <v>45377</v>
      </c>
      <c r="B343" s="161" t="s">
        <v>142</v>
      </c>
      <c r="C343" s="162">
        <f t="shared" si="272"/>
        <v>0</v>
      </c>
      <c r="D343" s="162">
        <f t="shared" ref="D343:E343" si="355">N343+Q343+T343</f>
        <v>0</v>
      </c>
      <c r="E343" s="163">
        <f t="shared" si="355"/>
        <v>0</v>
      </c>
      <c r="F343" s="164">
        <f t="shared" si="274"/>
        <v>0</v>
      </c>
      <c r="G343" s="192"/>
      <c r="H343" s="192"/>
      <c r="I343" s="194"/>
      <c r="J343" s="192"/>
      <c r="K343" s="192"/>
      <c r="L343" s="192"/>
      <c r="M343" s="193">
        <f t="shared" si="259"/>
        <v>0</v>
      </c>
      <c r="N343" s="192"/>
      <c r="O343" s="201">
        <f t="shared" si="260"/>
        <v>0</v>
      </c>
      <c r="P343" s="192"/>
      <c r="Q343" s="192"/>
      <c r="R343" s="201">
        <f t="shared" si="261"/>
        <v>0</v>
      </c>
      <c r="S343" s="192"/>
      <c r="T343" s="192"/>
      <c r="U343" s="202">
        <f t="shared" si="262"/>
        <v>0</v>
      </c>
      <c r="W343" s="148"/>
    </row>
    <row r="344" spans="1:23" ht="22.5" customHeight="1">
      <c r="A344" s="160">
        <v>45378</v>
      </c>
      <c r="B344" s="161" t="s">
        <v>143</v>
      </c>
      <c r="C344" s="162">
        <f t="shared" si="272"/>
        <v>0</v>
      </c>
      <c r="D344" s="162">
        <f t="shared" ref="D344:E344" si="356">N344+Q344+T344</f>
        <v>0</v>
      </c>
      <c r="E344" s="163">
        <f t="shared" si="356"/>
        <v>0</v>
      </c>
      <c r="F344" s="164">
        <f t="shared" si="274"/>
        <v>0</v>
      </c>
      <c r="G344" s="192"/>
      <c r="H344" s="192"/>
      <c r="I344" s="194"/>
      <c r="J344" s="192"/>
      <c r="K344" s="192"/>
      <c r="L344" s="192"/>
      <c r="M344" s="193">
        <f t="shared" si="259"/>
        <v>0</v>
      </c>
      <c r="N344" s="192"/>
      <c r="O344" s="201">
        <f t="shared" si="260"/>
        <v>0</v>
      </c>
      <c r="P344" s="192"/>
      <c r="Q344" s="192"/>
      <c r="R344" s="201">
        <f t="shared" si="261"/>
        <v>0</v>
      </c>
      <c r="S344" s="192"/>
      <c r="T344" s="192"/>
      <c r="U344" s="202">
        <f t="shared" si="262"/>
        <v>0</v>
      </c>
      <c r="W344" s="148"/>
    </row>
    <row r="345" spans="1:23" ht="22.5" customHeight="1">
      <c r="A345" s="160">
        <v>45379</v>
      </c>
      <c r="B345" s="161" t="s">
        <v>144</v>
      </c>
      <c r="C345" s="162">
        <f t="shared" si="272"/>
        <v>0</v>
      </c>
      <c r="D345" s="162">
        <f t="shared" ref="D345:E345" si="357">N345+Q345+T345</f>
        <v>0</v>
      </c>
      <c r="E345" s="163">
        <f t="shared" si="357"/>
        <v>0</v>
      </c>
      <c r="F345" s="164">
        <f t="shared" si="274"/>
        <v>0</v>
      </c>
      <c r="G345" s="192"/>
      <c r="H345" s="192"/>
      <c r="I345" s="194"/>
      <c r="J345" s="192"/>
      <c r="K345" s="192"/>
      <c r="L345" s="192"/>
      <c r="M345" s="193">
        <f t="shared" si="259"/>
        <v>0</v>
      </c>
      <c r="N345" s="192"/>
      <c r="O345" s="201">
        <f t="shared" si="260"/>
        <v>0</v>
      </c>
      <c r="P345" s="192"/>
      <c r="Q345" s="192"/>
      <c r="R345" s="201">
        <f t="shared" si="261"/>
        <v>0</v>
      </c>
      <c r="S345" s="192"/>
      <c r="T345" s="192"/>
      <c r="U345" s="202">
        <f t="shared" si="262"/>
        <v>0</v>
      </c>
    </row>
    <row r="346" spans="1:23" ht="22.5" customHeight="1">
      <c r="A346" s="160">
        <v>45380</v>
      </c>
      <c r="B346" s="161" t="s">
        <v>145</v>
      </c>
      <c r="C346" s="162">
        <f t="shared" si="272"/>
        <v>0</v>
      </c>
      <c r="D346" s="162">
        <f t="shared" ref="D346:E346" si="358">N346+Q346+T346</f>
        <v>0</v>
      </c>
      <c r="E346" s="163">
        <f t="shared" si="358"/>
        <v>0</v>
      </c>
      <c r="F346" s="164">
        <f t="shared" si="274"/>
        <v>0</v>
      </c>
      <c r="G346" s="192"/>
      <c r="H346" s="192"/>
      <c r="I346" s="194"/>
      <c r="J346" s="192"/>
      <c r="K346" s="192"/>
      <c r="L346" s="192"/>
      <c r="M346" s="193">
        <f t="shared" si="259"/>
        <v>0</v>
      </c>
      <c r="N346" s="192"/>
      <c r="O346" s="201">
        <f t="shared" si="260"/>
        <v>0</v>
      </c>
      <c r="P346" s="192"/>
      <c r="Q346" s="192"/>
      <c r="R346" s="201">
        <f t="shared" si="261"/>
        <v>0</v>
      </c>
      <c r="S346" s="192"/>
      <c r="T346" s="192"/>
      <c r="U346" s="202">
        <f t="shared" si="262"/>
        <v>0</v>
      </c>
    </row>
    <row r="347" spans="1:23" ht="22.5" customHeight="1">
      <c r="A347" s="160">
        <v>45381</v>
      </c>
      <c r="B347" s="161" t="s">
        <v>146</v>
      </c>
      <c r="C347" s="162">
        <f t="shared" si="272"/>
        <v>0</v>
      </c>
      <c r="D347" s="162">
        <f t="shared" ref="D347:E347" si="359">N347+Q347+T347</f>
        <v>0</v>
      </c>
      <c r="E347" s="163">
        <f t="shared" si="359"/>
        <v>0</v>
      </c>
      <c r="F347" s="164">
        <f t="shared" si="274"/>
        <v>0</v>
      </c>
      <c r="G347" s="163"/>
      <c r="H347" s="166"/>
      <c r="I347" s="163"/>
      <c r="J347" s="163"/>
      <c r="K347" s="163"/>
      <c r="L347" s="163"/>
      <c r="M347" s="163">
        <f t="shared" si="259"/>
        <v>0</v>
      </c>
      <c r="N347" s="163"/>
      <c r="O347" s="166">
        <f t="shared" si="260"/>
        <v>0</v>
      </c>
      <c r="P347" s="163"/>
      <c r="Q347" s="163"/>
      <c r="R347" s="166">
        <f t="shared" si="261"/>
        <v>0</v>
      </c>
      <c r="S347" s="163"/>
      <c r="T347" s="163"/>
      <c r="U347" s="167">
        <f t="shared" si="262"/>
        <v>0</v>
      </c>
    </row>
    <row r="348" spans="1:23" ht="22.5" customHeight="1">
      <c r="A348" s="160">
        <v>45382</v>
      </c>
      <c r="B348" s="161" t="s">
        <v>147</v>
      </c>
      <c r="C348" s="162">
        <f t="shared" si="272"/>
        <v>0</v>
      </c>
      <c r="D348" s="162">
        <f t="shared" ref="D348:E348" si="360">N348+Q348+T348</f>
        <v>0</v>
      </c>
      <c r="E348" s="163">
        <f t="shared" si="360"/>
        <v>0</v>
      </c>
      <c r="F348" s="164">
        <f t="shared" si="274"/>
        <v>0</v>
      </c>
      <c r="G348" s="192"/>
      <c r="H348" s="192"/>
      <c r="I348" s="194"/>
      <c r="J348" s="192"/>
      <c r="K348" s="192"/>
      <c r="L348" s="192"/>
      <c r="M348" s="193">
        <f t="shared" si="259"/>
        <v>0</v>
      </c>
      <c r="N348" s="192"/>
      <c r="O348" s="201">
        <f t="shared" si="260"/>
        <v>0</v>
      </c>
      <c r="P348" s="192"/>
      <c r="Q348" s="192"/>
      <c r="R348" s="201">
        <f t="shared" si="261"/>
        <v>0</v>
      </c>
      <c r="S348" s="192"/>
      <c r="T348" s="192"/>
      <c r="U348" s="202">
        <f t="shared" si="262"/>
        <v>0</v>
      </c>
      <c r="W348" s="148"/>
    </row>
    <row r="349" spans="1:23" ht="22.5" customHeight="1">
      <c r="A349" s="160">
        <v>45383</v>
      </c>
      <c r="B349" s="161" t="s">
        <v>148</v>
      </c>
      <c r="C349" s="162">
        <f t="shared" si="272"/>
        <v>0</v>
      </c>
      <c r="D349" s="162">
        <f t="shared" ref="D349:E349" si="361">N349+Q349+T349</f>
        <v>0</v>
      </c>
      <c r="E349" s="163">
        <f t="shared" si="361"/>
        <v>0</v>
      </c>
      <c r="F349" s="164">
        <f t="shared" si="274"/>
        <v>0</v>
      </c>
      <c r="G349" s="192"/>
      <c r="H349" s="192"/>
      <c r="I349" s="194"/>
      <c r="J349" s="192"/>
      <c r="K349" s="192"/>
      <c r="L349" s="192"/>
      <c r="M349" s="193">
        <f t="shared" si="259"/>
        <v>0</v>
      </c>
      <c r="N349" s="192"/>
      <c r="O349" s="201">
        <f t="shared" si="260"/>
        <v>0</v>
      </c>
      <c r="P349" s="192"/>
      <c r="Q349" s="192"/>
      <c r="R349" s="201">
        <f t="shared" si="261"/>
        <v>0</v>
      </c>
      <c r="S349" s="192"/>
      <c r="T349" s="192"/>
      <c r="U349" s="202">
        <f t="shared" si="262"/>
        <v>0</v>
      </c>
      <c r="W349" s="148"/>
    </row>
    <row r="350" spans="1:23" ht="22.5" customHeight="1">
      <c r="A350" s="160">
        <v>45384</v>
      </c>
      <c r="B350" s="161" t="s">
        <v>142</v>
      </c>
      <c r="C350" s="162">
        <f t="shared" si="272"/>
        <v>0</v>
      </c>
      <c r="D350" s="162">
        <f t="shared" ref="D350:E350" si="362">N350+Q350+T350</f>
        <v>0</v>
      </c>
      <c r="E350" s="163">
        <f t="shared" si="362"/>
        <v>0</v>
      </c>
      <c r="F350" s="164">
        <f t="shared" si="274"/>
        <v>0</v>
      </c>
      <c r="G350" s="192"/>
      <c r="H350" s="192"/>
      <c r="I350" s="194"/>
      <c r="J350" s="192"/>
      <c r="K350" s="192"/>
      <c r="L350" s="192"/>
      <c r="M350" s="193">
        <f t="shared" si="259"/>
        <v>0</v>
      </c>
      <c r="N350" s="192"/>
      <c r="O350" s="201">
        <f t="shared" si="260"/>
        <v>0</v>
      </c>
      <c r="P350" s="192"/>
      <c r="Q350" s="192"/>
      <c r="R350" s="201">
        <f t="shared" si="261"/>
        <v>0</v>
      </c>
      <c r="S350" s="192"/>
      <c r="T350" s="192"/>
      <c r="U350" s="202">
        <f t="shared" si="262"/>
        <v>0</v>
      </c>
      <c r="W350" s="148"/>
    </row>
    <row r="351" spans="1:23" ht="22.5" customHeight="1">
      <c r="A351" s="160">
        <v>45385</v>
      </c>
      <c r="B351" s="161" t="s">
        <v>143</v>
      </c>
      <c r="C351" s="162">
        <f t="shared" si="272"/>
        <v>0</v>
      </c>
      <c r="D351" s="162">
        <f t="shared" ref="D351:E351" si="363">N351+Q351+T351</f>
        <v>0</v>
      </c>
      <c r="E351" s="163">
        <f t="shared" si="363"/>
        <v>0</v>
      </c>
      <c r="F351" s="164">
        <f t="shared" si="274"/>
        <v>0</v>
      </c>
      <c r="G351" s="192"/>
      <c r="H351" s="192"/>
      <c r="I351" s="194"/>
      <c r="J351" s="192"/>
      <c r="K351" s="192"/>
      <c r="L351" s="192"/>
      <c r="M351" s="193">
        <f t="shared" si="259"/>
        <v>0</v>
      </c>
      <c r="N351" s="192"/>
      <c r="O351" s="201">
        <f t="shared" si="260"/>
        <v>0</v>
      </c>
      <c r="P351" s="192"/>
      <c r="Q351" s="192"/>
      <c r="R351" s="201">
        <f t="shared" si="261"/>
        <v>0</v>
      </c>
      <c r="S351" s="192"/>
      <c r="T351" s="192"/>
      <c r="U351" s="202">
        <f t="shared" si="262"/>
        <v>0</v>
      </c>
      <c r="W351" s="148"/>
    </row>
    <row r="352" spans="1:23" ht="22.5" customHeight="1">
      <c r="A352" s="160">
        <v>45386</v>
      </c>
      <c r="B352" s="161" t="s">
        <v>144</v>
      </c>
      <c r="C352" s="162">
        <f t="shared" si="272"/>
        <v>0</v>
      </c>
      <c r="D352" s="162">
        <f t="shared" ref="D352:E352" si="364">N352+Q352+T352</f>
        <v>0</v>
      </c>
      <c r="E352" s="163">
        <f t="shared" si="364"/>
        <v>0</v>
      </c>
      <c r="F352" s="164">
        <f t="shared" si="274"/>
        <v>0</v>
      </c>
      <c r="G352" s="192"/>
      <c r="H352" s="192"/>
      <c r="I352" s="194"/>
      <c r="J352" s="192"/>
      <c r="K352" s="192"/>
      <c r="L352" s="192"/>
      <c r="M352" s="193">
        <f t="shared" si="259"/>
        <v>0</v>
      </c>
      <c r="N352" s="192"/>
      <c r="O352" s="201">
        <f t="shared" si="260"/>
        <v>0</v>
      </c>
      <c r="P352" s="192"/>
      <c r="Q352" s="192"/>
      <c r="R352" s="201">
        <f t="shared" si="261"/>
        <v>0</v>
      </c>
      <c r="S352" s="192"/>
      <c r="T352" s="192"/>
      <c r="U352" s="202">
        <f t="shared" si="262"/>
        <v>0</v>
      </c>
      <c r="W352" s="148"/>
    </row>
    <row r="353" spans="1:23" ht="22.5" customHeight="1">
      <c r="A353" s="160">
        <v>45387</v>
      </c>
      <c r="B353" s="161" t="s">
        <v>145</v>
      </c>
      <c r="C353" s="162">
        <f t="shared" si="272"/>
        <v>0</v>
      </c>
      <c r="D353" s="162">
        <f t="shared" ref="D353:E353" si="365">N353+Q353+T353</f>
        <v>0</v>
      </c>
      <c r="E353" s="163">
        <f t="shared" si="365"/>
        <v>0</v>
      </c>
      <c r="F353" s="164">
        <f t="shared" si="274"/>
        <v>0</v>
      </c>
      <c r="G353" s="192"/>
      <c r="H353" s="192"/>
      <c r="I353" s="194"/>
      <c r="J353" s="192"/>
      <c r="K353" s="192"/>
      <c r="L353" s="192"/>
      <c r="M353" s="193">
        <f t="shared" si="259"/>
        <v>0</v>
      </c>
      <c r="N353" s="192"/>
      <c r="O353" s="201">
        <f t="shared" si="260"/>
        <v>0</v>
      </c>
      <c r="P353" s="192"/>
      <c r="Q353" s="192"/>
      <c r="R353" s="201">
        <f t="shared" si="261"/>
        <v>0</v>
      </c>
      <c r="S353" s="192"/>
      <c r="T353" s="192"/>
      <c r="U353" s="202">
        <f t="shared" si="262"/>
        <v>0</v>
      </c>
      <c r="W353" s="148"/>
    </row>
    <row r="354" spans="1:23" ht="22.5" customHeight="1">
      <c r="A354" s="160">
        <v>45388</v>
      </c>
      <c r="B354" s="161" t="s">
        <v>146</v>
      </c>
      <c r="C354" s="162">
        <f t="shared" si="272"/>
        <v>0</v>
      </c>
      <c r="D354" s="162">
        <f t="shared" ref="D354:E354" si="366">N354+Q354+T354</f>
        <v>0</v>
      </c>
      <c r="E354" s="163">
        <f t="shared" si="366"/>
        <v>0</v>
      </c>
      <c r="F354" s="164">
        <f t="shared" si="274"/>
        <v>0</v>
      </c>
      <c r="G354" s="192"/>
      <c r="H354" s="192"/>
      <c r="I354" s="194"/>
      <c r="J354" s="192"/>
      <c r="K354" s="192"/>
      <c r="L354" s="192"/>
      <c r="M354" s="193">
        <f t="shared" si="259"/>
        <v>0</v>
      </c>
      <c r="N354" s="192"/>
      <c r="O354" s="201">
        <f t="shared" si="260"/>
        <v>0</v>
      </c>
      <c r="P354" s="192"/>
      <c r="Q354" s="192"/>
      <c r="R354" s="201">
        <f t="shared" si="261"/>
        <v>0</v>
      </c>
      <c r="S354" s="192"/>
      <c r="T354" s="192"/>
      <c r="U354" s="202">
        <f t="shared" si="262"/>
        <v>0</v>
      </c>
      <c r="W354" s="148"/>
    </row>
    <row r="355" spans="1:23" ht="22.5" customHeight="1">
      <c r="A355" s="160">
        <v>45389</v>
      </c>
      <c r="B355" s="161" t="s">
        <v>147</v>
      </c>
      <c r="C355" s="162">
        <f t="shared" si="272"/>
        <v>0</v>
      </c>
      <c r="D355" s="162">
        <f t="shared" ref="D355:E355" si="367">N355+Q355+T355</f>
        <v>0</v>
      </c>
      <c r="E355" s="163">
        <f t="shared" si="367"/>
        <v>0</v>
      </c>
      <c r="F355" s="164">
        <f t="shared" si="274"/>
        <v>0</v>
      </c>
      <c r="G355" s="192"/>
      <c r="H355" s="192"/>
      <c r="I355" s="194"/>
      <c r="J355" s="192"/>
      <c r="K355" s="192"/>
      <c r="L355" s="192"/>
      <c r="M355" s="193">
        <f t="shared" si="259"/>
        <v>0</v>
      </c>
      <c r="N355" s="192"/>
      <c r="O355" s="201">
        <f t="shared" si="260"/>
        <v>0</v>
      </c>
      <c r="P355" s="192"/>
      <c r="Q355" s="192"/>
      <c r="R355" s="201">
        <f t="shared" si="261"/>
        <v>0</v>
      </c>
      <c r="S355" s="192"/>
      <c r="T355" s="192"/>
      <c r="U355" s="202">
        <f t="shared" si="262"/>
        <v>0</v>
      </c>
      <c r="W355" s="148"/>
    </row>
    <row r="356" spans="1:23" ht="22.5" customHeight="1">
      <c r="A356" s="160">
        <v>45390</v>
      </c>
      <c r="B356" s="161" t="s">
        <v>148</v>
      </c>
      <c r="C356" s="162">
        <f t="shared" si="272"/>
        <v>0</v>
      </c>
      <c r="D356" s="162">
        <f t="shared" ref="D356:E356" si="368">N356+Q356+T356</f>
        <v>0</v>
      </c>
      <c r="E356" s="163">
        <f t="shared" si="368"/>
        <v>0</v>
      </c>
      <c r="F356" s="164">
        <f t="shared" si="274"/>
        <v>0</v>
      </c>
      <c r="G356" s="192"/>
      <c r="H356" s="192"/>
      <c r="I356" s="194"/>
      <c r="J356" s="192"/>
      <c r="K356" s="192"/>
      <c r="L356" s="192"/>
      <c r="M356" s="193">
        <f t="shared" si="259"/>
        <v>0</v>
      </c>
      <c r="N356" s="192"/>
      <c r="O356" s="201">
        <f t="shared" si="260"/>
        <v>0</v>
      </c>
      <c r="P356" s="192"/>
      <c r="Q356" s="192"/>
      <c r="R356" s="201">
        <f t="shared" si="261"/>
        <v>0</v>
      </c>
      <c r="S356" s="192"/>
      <c r="T356" s="192"/>
      <c r="U356" s="202">
        <f t="shared" si="262"/>
        <v>0</v>
      </c>
      <c r="W356" s="148"/>
    </row>
    <row r="357" spans="1:23" ht="22.5" customHeight="1">
      <c r="A357" s="160">
        <v>45391</v>
      </c>
      <c r="B357" s="161" t="s">
        <v>142</v>
      </c>
      <c r="C357" s="162">
        <f t="shared" si="272"/>
        <v>0</v>
      </c>
      <c r="D357" s="162">
        <f t="shared" ref="D357:E357" si="369">N357+Q357+T357</f>
        <v>0</v>
      </c>
      <c r="E357" s="163">
        <f t="shared" si="369"/>
        <v>0</v>
      </c>
      <c r="F357" s="164">
        <f t="shared" si="274"/>
        <v>0</v>
      </c>
      <c r="G357" s="192"/>
      <c r="H357" s="192"/>
      <c r="I357" s="194"/>
      <c r="J357" s="192"/>
      <c r="K357" s="192"/>
      <c r="L357" s="192"/>
      <c r="M357" s="193">
        <f t="shared" si="259"/>
        <v>0</v>
      </c>
      <c r="N357" s="192"/>
      <c r="O357" s="201">
        <f t="shared" si="260"/>
        <v>0</v>
      </c>
      <c r="P357" s="192"/>
      <c r="Q357" s="192"/>
      <c r="R357" s="201">
        <f t="shared" si="261"/>
        <v>0</v>
      </c>
      <c r="S357" s="192"/>
      <c r="T357" s="192"/>
      <c r="U357" s="202">
        <f t="shared" si="262"/>
        <v>0</v>
      </c>
      <c r="W357" s="148"/>
    </row>
    <row r="358" spans="1:23" ht="22.5" customHeight="1">
      <c r="A358" s="160">
        <v>45392</v>
      </c>
      <c r="B358" s="161" t="s">
        <v>143</v>
      </c>
      <c r="C358" s="162">
        <f t="shared" si="272"/>
        <v>0</v>
      </c>
      <c r="D358" s="162">
        <f t="shared" ref="D358:E358" si="370">N358+Q358+T358</f>
        <v>0</v>
      </c>
      <c r="E358" s="163">
        <f t="shared" si="370"/>
        <v>0</v>
      </c>
      <c r="F358" s="164">
        <f t="shared" si="274"/>
        <v>0</v>
      </c>
      <c r="G358" s="192"/>
      <c r="H358" s="192"/>
      <c r="I358" s="194"/>
      <c r="J358" s="192"/>
      <c r="K358" s="192"/>
      <c r="L358" s="192"/>
      <c r="M358" s="193">
        <f t="shared" si="259"/>
        <v>0</v>
      </c>
      <c r="N358" s="192"/>
      <c r="O358" s="201">
        <f t="shared" si="260"/>
        <v>0</v>
      </c>
      <c r="P358" s="192"/>
      <c r="Q358" s="192"/>
      <c r="R358" s="201">
        <f t="shared" si="261"/>
        <v>0</v>
      </c>
      <c r="S358" s="192"/>
      <c r="T358" s="192"/>
      <c r="U358" s="202">
        <f t="shared" si="262"/>
        <v>0</v>
      </c>
      <c r="W358" s="148"/>
    </row>
    <row r="359" spans="1:23" ht="22.5" customHeight="1">
      <c r="A359" s="160">
        <v>45393</v>
      </c>
      <c r="B359" s="161" t="s">
        <v>144</v>
      </c>
      <c r="C359" s="162">
        <f t="shared" si="272"/>
        <v>0</v>
      </c>
      <c r="D359" s="162">
        <f t="shared" ref="D359:E359" si="371">N359+Q359+T359</f>
        <v>0</v>
      </c>
      <c r="E359" s="163">
        <f t="shared" si="371"/>
        <v>0</v>
      </c>
      <c r="F359" s="164">
        <f t="shared" si="274"/>
        <v>0</v>
      </c>
      <c r="G359" s="192"/>
      <c r="H359" s="192"/>
      <c r="I359" s="194"/>
      <c r="J359" s="192"/>
      <c r="K359" s="192"/>
      <c r="L359" s="192"/>
      <c r="M359" s="193">
        <f t="shared" si="259"/>
        <v>0</v>
      </c>
      <c r="N359" s="192"/>
      <c r="O359" s="201">
        <f t="shared" si="260"/>
        <v>0</v>
      </c>
      <c r="P359" s="192"/>
      <c r="Q359" s="192"/>
      <c r="R359" s="201">
        <f t="shared" si="261"/>
        <v>0</v>
      </c>
      <c r="S359" s="192"/>
      <c r="T359" s="192"/>
      <c r="U359" s="202">
        <f t="shared" si="262"/>
        <v>0</v>
      </c>
      <c r="W359" s="148"/>
    </row>
    <row r="360" spans="1:23" ht="22.5" customHeight="1">
      <c r="A360" s="160">
        <v>45394</v>
      </c>
      <c r="B360" s="161" t="s">
        <v>145</v>
      </c>
      <c r="C360" s="162">
        <f t="shared" si="272"/>
        <v>0</v>
      </c>
      <c r="D360" s="162">
        <f t="shared" ref="D360:E360" si="372">N360+Q360+T360</f>
        <v>0</v>
      </c>
      <c r="E360" s="163">
        <f t="shared" si="372"/>
        <v>0</v>
      </c>
      <c r="F360" s="164">
        <f t="shared" si="274"/>
        <v>0</v>
      </c>
      <c r="G360" s="192"/>
      <c r="H360" s="192"/>
      <c r="I360" s="194"/>
      <c r="J360" s="192"/>
      <c r="K360" s="192"/>
      <c r="L360" s="192"/>
      <c r="M360" s="193">
        <f t="shared" si="259"/>
        <v>0</v>
      </c>
      <c r="N360" s="192"/>
      <c r="O360" s="201">
        <f t="shared" si="260"/>
        <v>0</v>
      </c>
      <c r="P360" s="192"/>
      <c r="Q360" s="192"/>
      <c r="R360" s="201">
        <f t="shared" si="261"/>
        <v>0</v>
      </c>
      <c r="S360" s="192"/>
      <c r="T360" s="192"/>
      <c r="U360" s="202">
        <f t="shared" si="262"/>
        <v>0</v>
      </c>
      <c r="W360" s="148"/>
    </row>
    <row r="361" spans="1:23" ht="22.5" customHeight="1">
      <c r="A361" s="160">
        <v>45395</v>
      </c>
      <c r="B361" s="161" t="s">
        <v>146</v>
      </c>
      <c r="C361" s="162">
        <f t="shared" si="272"/>
        <v>0</v>
      </c>
      <c r="D361" s="162">
        <f t="shared" ref="D361:E361" si="373">N361+Q361+T361</f>
        <v>0</v>
      </c>
      <c r="E361" s="163">
        <f t="shared" si="373"/>
        <v>0</v>
      </c>
      <c r="F361" s="164">
        <f t="shared" si="274"/>
        <v>0</v>
      </c>
      <c r="G361" s="192"/>
      <c r="H361" s="192"/>
      <c r="I361" s="194"/>
      <c r="J361" s="192"/>
      <c r="K361" s="192"/>
      <c r="L361" s="192"/>
      <c r="M361" s="193">
        <f t="shared" si="259"/>
        <v>0</v>
      </c>
      <c r="N361" s="192"/>
      <c r="O361" s="201">
        <f t="shared" si="260"/>
        <v>0</v>
      </c>
      <c r="P361" s="192"/>
      <c r="Q361" s="192"/>
      <c r="R361" s="201">
        <f t="shared" si="261"/>
        <v>0</v>
      </c>
      <c r="S361" s="192"/>
      <c r="T361" s="192"/>
      <c r="U361" s="202">
        <f t="shared" si="262"/>
        <v>0</v>
      </c>
      <c r="W361" s="148"/>
    </row>
    <row r="362" spans="1:23" ht="22.5" customHeight="1">
      <c r="A362" s="160">
        <v>45396</v>
      </c>
      <c r="B362" s="161" t="s">
        <v>147</v>
      </c>
      <c r="C362" s="162">
        <f t="shared" si="272"/>
        <v>0</v>
      </c>
      <c r="D362" s="162">
        <f t="shared" ref="D362:E362" si="374">N362+Q362+T362</f>
        <v>0</v>
      </c>
      <c r="E362" s="163">
        <f t="shared" si="374"/>
        <v>0</v>
      </c>
      <c r="F362" s="164">
        <f t="shared" si="274"/>
        <v>0</v>
      </c>
      <c r="G362" s="192"/>
      <c r="H362" s="192"/>
      <c r="I362" s="194"/>
      <c r="J362" s="192"/>
      <c r="K362" s="192"/>
      <c r="L362" s="192"/>
      <c r="M362" s="193">
        <f t="shared" si="259"/>
        <v>0</v>
      </c>
      <c r="N362" s="192"/>
      <c r="O362" s="201">
        <f t="shared" si="260"/>
        <v>0</v>
      </c>
      <c r="P362" s="192"/>
      <c r="Q362" s="192"/>
      <c r="R362" s="201">
        <f t="shared" si="261"/>
        <v>0</v>
      </c>
      <c r="S362" s="192"/>
      <c r="T362" s="192"/>
      <c r="U362" s="202">
        <f t="shared" si="262"/>
        <v>0</v>
      </c>
      <c r="W362" s="148"/>
    </row>
    <row r="363" spans="1:23" ht="22.5" customHeight="1">
      <c r="A363" s="160">
        <v>45397</v>
      </c>
      <c r="B363" s="161" t="s">
        <v>148</v>
      </c>
      <c r="C363" s="162">
        <f t="shared" si="272"/>
        <v>0</v>
      </c>
      <c r="D363" s="162">
        <f t="shared" ref="D363:E363" si="375">N363+Q363+T363</f>
        <v>0</v>
      </c>
      <c r="E363" s="163">
        <f t="shared" si="375"/>
        <v>0</v>
      </c>
      <c r="F363" s="164">
        <f t="shared" si="274"/>
        <v>0</v>
      </c>
      <c r="G363" s="192"/>
      <c r="H363" s="192"/>
      <c r="I363" s="194"/>
      <c r="J363" s="192"/>
      <c r="K363" s="192"/>
      <c r="L363" s="192"/>
      <c r="M363" s="193">
        <f t="shared" si="259"/>
        <v>0</v>
      </c>
      <c r="N363" s="192"/>
      <c r="O363" s="201">
        <f t="shared" si="260"/>
        <v>0</v>
      </c>
      <c r="P363" s="192"/>
      <c r="Q363" s="192"/>
      <c r="R363" s="201">
        <f t="shared" si="261"/>
        <v>0</v>
      </c>
      <c r="S363" s="192"/>
      <c r="T363" s="192"/>
      <c r="U363" s="202">
        <f t="shared" si="262"/>
        <v>0</v>
      </c>
      <c r="W363" s="148"/>
    </row>
    <row r="364" spans="1:23" ht="22.5" customHeight="1">
      <c r="A364" s="160">
        <v>45398</v>
      </c>
      <c r="B364" s="161" t="s">
        <v>142</v>
      </c>
      <c r="C364" s="162">
        <f t="shared" si="272"/>
        <v>0</v>
      </c>
      <c r="D364" s="162">
        <f t="shared" ref="D364:E364" si="376">N364+Q364+T364</f>
        <v>0</v>
      </c>
      <c r="E364" s="163">
        <f t="shared" si="376"/>
        <v>0</v>
      </c>
      <c r="F364" s="164">
        <f t="shared" si="274"/>
        <v>0</v>
      </c>
      <c r="G364" s="192"/>
      <c r="H364" s="192"/>
      <c r="I364" s="194"/>
      <c r="J364" s="192"/>
      <c r="K364" s="192"/>
      <c r="L364" s="192"/>
      <c r="M364" s="193">
        <f t="shared" si="259"/>
        <v>0</v>
      </c>
      <c r="N364" s="192"/>
      <c r="O364" s="201">
        <f t="shared" si="260"/>
        <v>0</v>
      </c>
      <c r="P364" s="192"/>
      <c r="Q364" s="192"/>
      <c r="R364" s="201">
        <f t="shared" si="261"/>
        <v>0</v>
      </c>
      <c r="S364" s="192"/>
      <c r="T364" s="192"/>
      <c r="U364" s="202">
        <f t="shared" si="262"/>
        <v>0</v>
      </c>
      <c r="W364" s="148"/>
    </row>
    <row r="365" spans="1:23" ht="22.5" customHeight="1">
      <c r="A365" s="160">
        <v>45399</v>
      </c>
      <c r="B365" s="161" t="s">
        <v>143</v>
      </c>
      <c r="C365" s="162">
        <f t="shared" si="272"/>
        <v>0</v>
      </c>
      <c r="D365" s="162">
        <f t="shared" ref="D365:E365" si="377">N365+Q365+T365</f>
        <v>0</v>
      </c>
      <c r="E365" s="163">
        <f t="shared" si="377"/>
        <v>0</v>
      </c>
      <c r="F365" s="164">
        <f t="shared" si="274"/>
        <v>0</v>
      </c>
      <c r="G365" s="192"/>
      <c r="H365" s="192"/>
      <c r="I365" s="194"/>
      <c r="J365" s="192"/>
      <c r="K365" s="192"/>
      <c r="L365" s="192"/>
      <c r="M365" s="193">
        <f t="shared" si="259"/>
        <v>0</v>
      </c>
      <c r="N365" s="192"/>
      <c r="O365" s="201">
        <f t="shared" si="260"/>
        <v>0</v>
      </c>
      <c r="P365" s="192"/>
      <c r="Q365" s="192"/>
      <c r="R365" s="201">
        <f t="shared" si="261"/>
        <v>0</v>
      </c>
      <c r="S365" s="192"/>
      <c r="T365" s="192"/>
      <c r="U365" s="202">
        <f t="shared" si="262"/>
        <v>0</v>
      </c>
      <c r="W365" s="148"/>
    </row>
    <row r="366" spans="1:23" ht="22.5" customHeight="1">
      <c r="A366" s="160">
        <v>45400</v>
      </c>
      <c r="B366" s="161" t="s">
        <v>144</v>
      </c>
      <c r="C366" s="162">
        <f t="shared" si="272"/>
        <v>0</v>
      </c>
      <c r="D366" s="162">
        <f t="shared" ref="D366:E366" si="378">N366+Q366+T366</f>
        <v>0</v>
      </c>
      <c r="E366" s="163">
        <f t="shared" si="378"/>
        <v>0</v>
      </c>
      <c r="F366" s="164">
        <f t="shared" si="274"/>
        <v>0</v>
      </c>
      <c r="G366" s="192"/>
      <c r="H366" s="192"/>
      <c r="I366" s="194"/>
      <c r="J366" s="192"/>
      <c r="K366" s="192"/>
      <c r="L366" s="192"/>
      <c r="M366" s="193">
        <f t="shared" si="259"/>
        <v>0</v>
      </c>
      <c r="N366" s="192"/>
      <c r="O366" s="201">
        <f t="shared" si="260"/>
        <v>0</v>
      </c>
      <c r="P366" s="192"/>
      <c r="Q366" s="192"/>
      <c r="R366" s="201">
        <f t="shared" si="261"/>
        <v>0</v>
      </c>
      <c r="S366" s="192"/>
      <c r="T366" s="192"/>
      <c r="U366" s="202">
        <f t="shared" si="262"/>
        <v>0</v>
      </c>
    </row>
    <row r="367" spans="1:23" ht="22.5" customHeight="1">
      <c r="A367" s="160">
        <v>45401</v>
      </c>
      <c r="B367" s="161" t="s">
        <v>145</v>
      </c>
      <c r="C367" s="162">
        <f t="shared" si="272"/>
        <v>0</v>
      </c>
      <c r="D367" s="162">
        <f t="shared" ref="D367:E367" si="379">N367+Q367+T367</f>
        <v>0</v>
      </c>
      <c r="E367" s="163">
        <f t="shared" si="379"/>
        <v>0</v>
      </c>
      <c r="F367" s="164">
        <f t="shared" si="274"/>
        <v>0</v>
      </c>
      <c r="G367" s="192"/>
      <c r="H367" s="192"/>
      <c r="I367" s="194"/>
      <c r="J367" s="192"/>
      <c r="K367" s="192"/>
      <c r="L367" s="192"/>
      <c r="M367" s="193">
        <f t="shared" si="259"/>
        <v>0</v>
      </c>
      <c r="N367" s="192"/>
      <c r="O367" s="201">
        <f t="shared" si="260"/>
        <v>0</v>
      </c>
      <c r="P367" s="192"/>
      <c r="Q367" s="192"/>
      <c r="R367" s="201">
        <f t="shared" si="261"/>
        <v>0</v>
      </c>
      <c r="S367" s="192"/>
      <c r="T367" s="192"/>
      <c r="U367" s="202">
        <f t="shared" si="262"/>
        <v>0</v>
      </c>
      <c r="V367" s="174" t="s">
        <v>149</v>
      </c>
      <c r="W367" s="175">
        <f>PRESUPUESTO!D27</f>
        <v>63895.467421894689</v>
      </c>
    </row>
    <row r="368" spans="1:23" ht="22.5" customHeight="1">
      <c r="A368" s="160">
        <v>45402</v>
      </c>
      <c r="B368" s="161" t="s">
        <v>146</v>
      </c>
      <c r="C368" s="162">
        <f t="shared" si="272"/>
        <v>0</v>
      </c>
      <c r="D368" s="162">
        <f t="shared" ref="D368:E368" si="380">N368+Q368+T368</f>
        <v>0</v>
      </c>
      <c r="E368" s="163">
        <f t="shared" si="380"/>
        <v>0</v>
      </c>
      <c r="F368" s="164">
        <f t="shared" si="274"/>
        <v>0</v>
      </c>
      <c r="G368" s="192"/>
      <c r="H368" s="192"/>
      <c r="I368" s="194"/>
      <c r="J368" s="192"/>
      <c r="K368" s="192"/>
      <c r="L368" s="192"/>
      <c r="M368" s="193">
        <f t="shared" si="259"/>
        <v>0</v>
      </c>
      <c r="N368" s="192"/>
      <c r="O368" s="201">
        <f t="shared" si="260"/>
        <v>0</v>
      </c>
      <c r="P368" s="192"/>
      <c r="Q368" s="192"/>
      <c r="R368" s="201">
        <f t="shared" si="261"/>
        <v>0</v>
      </c>
      <c r="S368" s="192"/>
      <c r="T368" s="192"/>
      <c r="U368" s="202">
        <f t="shared" si="262"/>
        <v>0</v>
      </c>
      <c r="V368" s="174" t="s">
        <v>150</v>
      </c>
      <c r="W368" s="175">
        <f>SUBTOTAL(9,C341:C371)</f>
        <v>0</v>
      </c>
    </row>
    <row r="369" spans="1:23" ht="22.5" customHeight="1">
      <c r="A369" s="160">
        <v>45403</v>
      </c>
      <c r="B369" s="161" t="s">
        <v>147</v>
      </c>
      <c r="C369" s="162">
        <f t="shared" si="272"/>
        <v>0</v>
      </c>
      <c r="D369" s="162">
        <f t="shared" ref="D369:E369" si="381">N369+Q369+T369</f>
        <v>0</v>
      </c>
      <c r="E369" s="163">
        <f t="shared" si="381"/>
        <v>0</v>
      </c>
      <c r="F369" s="164">
        <f t="shared" si="274"/>
        <v>0</v>
      </c>
      <c r="G369" s="192"/>
      <c r="H369" s="192"/>
      <c r="I369" s="194"/>
      <c r="J369" s="192"/>
      <c r="K369" s="192"/>
      <c r="L369" s="192"/>
      <c r="M369" s="193">
        <f t="shared" si="259"/>
        <v>0</v>
      </c>
      <c r="N369" s="192"/>
      <c r="O369" s="201">
        <f t="shared" si="260"/>
        <v>0</v>
      </c>
      <c r="P369" s="192"/>
      <c r="Q369" s="192"/>
      <c r="R369" s="201">
        <f t="shared" si="261"/>
        <v>0</v>
      </c>
      <c r="S369" s="192"/>
      <c r="T369" s="192"/>
      <c r="U369" s="202">
        <f t="shared" si="262"/>
        <v>0</v>
      </c>
      <c r="V369" s="174" t="s">
        <v>151</v>
      </c>
      <c r="W369" s="175">
        <f>SUM(N341:N371)+SUM(Q341:Q371)+SUM(T341:T371)</f>
        <v>0</v>
      </c>
    </row>
    <row r="370" spans="1:23" ht="22.5" customHeight="1">
      <c r="A370" s="160">
        <v>45404</v>
      </c>
      <c r="B370" s="161" t="s">
        <v>148</v>
      </c>
      <c r="C370" s="162">
        <f t="shared" si="272"/>
        <v>0</v>
      </c>
      <c r="D370" s="162">
        <f t="shared" ref="D370:E370" si="382">N370+Q370+T370</f>
        <v>0</v>
      </c>
      <c r="E370" s="163">
        <f t="shared" si="382"/>
        <v>0</v>
      </c>
      <c r="F370" s="164">
        <f t="shared" si="274"/>
        <v>0</v>
      </c>
      <c r="G370" s="192"/>
      <c r="H370" s="192"/>
      <c r="I370" s="194"/>
      <c r="J370" s="192"/>
      <c r="K370" s="192"/>
      <c r="L370" s="192"/>
      <c r="M370" s="193">
        <f t="shared" si="259"/>
        <v>0</v>
      </c>
      <c r="N370" s="192"/>
      <c r="O370" s="201">
        <f t="shared" si="260"/>
        <v>0</v>
      </c>
      <c r="P370" s="192"/>
      <c r="Q370" s="192"/>
      <c r="R370" s="201">
        <f t="shared" si="261"/>
        <v>0</v>
      </c>
      <c r="S370" s="192"/>
      <c r="T370" s="192"/>
      <c r="U370" s="202">
        <f t="shared" si="262"/>
        <v>0</v>
      </c>
      <c r="V370" s="174" t="s">
        <v>152</v>
      </c>
      <c r="W370" s="175">
        <f>SUM(O341:O371)+SUM(R341:R371)+SUM(U341:U371)</f>
        <v>0</v>
      </c>
    </row>
    <row r="371" spans="1:23" ht="22.5" customHeight="1">
      <c r="A371" s="160">
        <v>45405</v>
      </c>
      <c r="B371" s="161" t="s">
        <v>142</v>
      </c>
      <c r="C371" s="162">
        <f t="shared" si="272"/>
        <v>0</v>
      </c>
      <c r="D371" s="162">
        <f t="shared" ref="D371:E371" si="383">N371+Q371+T371</f>
        <v>0</v>
      </c>
      <c r="E371" s="163">
        <f t="shared" si="383"/>
        <v>0</v>
      </c>
      <c r="F371" s="164">
        <f t="shared" si="274"/>
        <v>0</v>
      </c>
      <c r="G371" s="192"/>
      <c r="H371" s="192"/>
      <c r="I371" s="194"/>
      <c r="J371" s="192"/>
      <c r="K371" s="192"/>
      <c r="L371" s="192"/>
      <c r="M371" s="193">
        <f t="shared" si="259"/>
        <v>0</v>
      </c>
      <c r="N371" s="192"/>
      <c r="O371" s="201">
        <f t="shared" si="260"/>
        <v>0</v>
      </c>
      <c r="P371" s="192"/>
      <c r="Q371" s="192"/>
      <c r="R371" s="201">
        <f t="shared" si="261"/>
        <v>0</v>
      </c>
      <c r="S371" s="192"/>
      <c r="T371" s="192"/>
      <c r="U371" s="202">
        <f t="shared" si="262"/>
        <v>0</v>
      </c>
      <c r="V371" s="176" t="s">
        <v>153</v>
      </c>
      <c r="W371" s="211" t="e">
        <f>W368/COUNTIF(C341:C371,"&lt;&gt;0")</f>
        <v>#DIV/0!</v>
      </c>
    </row>
    <row r="372" spans="1:23" ht="22.5" customHeight="1">
      <c r="A372" s="212">
        <v>45406</v>
      </c>
      <c r="B372" s="213" t="s">
        <v>143</v>
      </c>
      <c r="C372" s="178">
        <f t="shared" si="272"/>
        <v>0</v>
      </c>
      <c r="D372" s="178">
        <f t="shared" ref="D372:E372" si="384">N372+Q372+T372</f>
        <v>0</v>
      </c>
      <c r="E372" s="179">
        <f t="shared" si="384"/>
        <v>0</v>
      </c>
      <c r="F372" s="204">
        <f t="shared" si="274"/>
        <v>0</v>
      </c>
      <c r="G372" s="184"/>
      <c r="H372" s="184"/>
      <c r="I372" s="185"/>
      <c r="J372" s="184"/>
      <c r="K372" s="184"/>
      <c r="L372" s="184"/>
      <c r="M372" s="180">
        <f t="shared" si="259"/>
        <v>0</v>
      </c>
      <c r="N372" s="184"/>
      <c r="O372" s="181">
        <f t="shared" si="260"/>
        <v>0</v>
      </c>
      <c r="P372" s="184"/>
      <c r="Q372" s="184"/>
      <c r="R372" s="181">
        <f t="shared" si="261"/>
        <v>0</v>
      </c>
      <c r="S372" s="184"/>
      <c r="T372" s="184"/>
      <c r="U372" s="182">
        <f t="shared" si="262"/>
        <v>0</v>
      </c>
      <c r="V372" s="176" t="s">
        <v>154</v>
      </c>
      <c r="W372" s="134">
        <f>W368/26</f>
        <v>0</v>
      </c>
    </row>
  </sheetData>
  <customSheetViews>
    <customSheetView guid="{17615D2B-5B49-4672-A351-489C66FF79A5}" filter="1" showAutoFilter="1">
      <pageMargins left="0.7" right="0.7" top="0.75" bottom="0.75" header="0.3" footer="0.3"/>
      <autoFilter ref="A6:U250" xr:uid="{EB700D18-D349-4DC2-B9F3-0E8C836096FB}">
        <sortState xmlns:xlrd2="http://schemas.microsoft.com/office/spreadsheetml/2017/richdata2" ref="A6:U250">
          <sortCondition ref="A6:A250"/>
        </sortState>
      </autoFilter>
    </customSheetView>
  </customSheetViews>
  <mergeCells count="6">
    <mergeCell ref="A5:B5"/>
    <mergeCell ref="A1:U1"/>
    <mergeCell ref="I3:O3"/>
    <mergeCell ref="P3:R3"/>
    <mergeCell ref="S3:U3"/>
    <mergeCell ref="A4:B4"/>
  </mergeCells>
  <conditionalFormatting sqref="E7:E372">
    <cfRule type="cellIs" dxfId="51" priority="1" operator="greaterThanOrEqual">
      <formula>100</formula>
    </cfRule>
  </conditionalFormatting>
  <conditionalFormatting sqref="E7:E372">
    <cfRule type="cellIs" dxfId="50" priority="2" operator="lessThanOrEqual">
      <formula>-100</formula>
    </cfRule>
  </conditionalFormatting>
  <conditionalFormatting sqref="C221:D250">
    <cfRule type="expression" dxfId="49" priority="5">
      <formula>C221&gt;$W$245</formula>
    </cfRule>
  </conditionalFormatting>
  <conditionalFormatting sqref="C251:D281">
    <cfRule type="expression" dxfId="48" priority="6">
      <formula>C251&lt;$W$276</formula>
    </cfRule>
  </conditionalFormatting>
  <conditionalFormatting sqref="C37:D67">
    <cfRule type="expression" dxfId="47" priority="9">
      <formula>C37&gt;$W$62</formula>
    </cfRule>
  </conditionalFormatting>
  <conditionalFormatting sqref="C251:D281">
    <cfRule type="expression" dxfId="46" priority="10">
      <formula>C251&gt;$W$276</formula>
    </cfRule>
  </conditionalFormatting>
  <conditionalFormatting sqref="C221:D250">
    <cfRule type="expression" dxfId="45" priority="11">
      <formula>C221&lt;$W$245</formula>
    </cfRule>
  </conditionalFormatting>
  <conditionalFormatting sqref="C37:D67">
    <cfRule type="expression" dxfId="44" priority="12">
      <formula>C37&lt;$W$62</formula>
    </cfRule>
  </conditionalFormatting>
  <conditionalFormatting sqref="C7:D36">
    <cfRule type="expression" dxfId="43" priority="13">
      <formula>C7&gt;$W$31</formula>
    </cfRule>
  </conditionalFormatting>
  <conditionalFormatting sqref="C7:D36">
    <cfRule type="expression" dxfId="42" priority="14">
      <formula>C7&gt;$W$31</formula>
    </cfRule>
  </conditionalFormatting>
  <conditionalFormatting sqref="C7:D36">
    <cfRule type="expression" dxfId="41" priority="15">
      <formula>C7&lt;$W$31</formula>
    </cfRule>
  </conditionalFormatting>
  <conditionalFormatting sqref="C68:D97">
    <cfRule type="expression" dxfId="40" priority="16">
      <formula>C68&gt;D92</formula>
    </cfRule>
  </conditionalFormatting>
  <conditionalFormatting sqref="C68:D97">
    <cfRule type="expression" dxfId="39" priority="17">
      <formula>C68&lt;D92</formula>
    </cfRule>
  </conditionalFormatting>
  <conditionalFormatting sqref="C98:D128">
    <cfRule type="expression" dxfId="38" priority="18">
      <formula>C98&gt;$W$123</formula>
    </cfRule>
  </conditionalFormatting>
  <conditionalFormatting sqref="C98:D128">
    <cfRule type="expression" dxfId="37" priority="19">
      <formula>C98&lt;$W$123</formula>
    </cfRule>
  </conditionalFormatting>
  <conditionalFormatting sqref="C129:D159">
    <cfRule type="expression" dxfId="36" priority="20">
      <formula>C129&gt;$W$154</formula>
    </cfRule>
  </conditionalFormatting>
  <conditionalFormatting sqref="C129:D159">
    <cfRule type="expression" dxfId="35" priority="21">
      <formula>C129&lt;$W$154</formula>
    </cfRule>
  </conditionalFormatting>
  <conditionalFormatting sqref="C160:D189">
    <cfRule type="expression" dxfId="34" priority="22">
      <formula>C160&gt;$W$184</formula>
    </cfRule>
  </conditionalFormatting>
  <conditionalFormatting sqref="C160:D189">
    <cfRule type="expression" dxfId="33" priority="23">
      <formula>C160&lt;$W$184</formula>
    </cfRule>
  </conditionalFormatting>
  <conditionalFormatting sqref="C190:D220">
    <cfRule type="expression" dxfId="32" priority="24">
      <formula>C190&gt;$W$215</formula>
    </cfRule>
  </conditionalFormatting>
  <conditionalFormatting sqref="C190:D220">
    <cfRule type="expression" dxfId="31" priority="25">
      <formula>C190&lt;$W$215</formula>
    </cfRule>
  </conditionalFormatting>
  <conditionalFormatting sqref="C282:D312">
    <cfRule type="expression" dxfId="30" priority="26">
      <formula>C282&gt;$W$307</formula>
    </cfRule>
  </conditionalFormatting>
  <conditionalFormatting sqref="C282:D312">
    <cfRule type="expression" dxfId="29" priority="27">
      <formula>C282&lt;$W$307</formula>
    </cfRule>
  </conditionalFormatting>
  <conditionalFormatting sqref="C313:D340">
    <cfRule type="expression" dxfId="28" priority="28">
      <formula>C313&gt;$W$335</formula>
    </cfRule>
  </conditionalFormatting>
  <conditionalFormatting sqref="C313:D340">
    <cfRule type="expression" dxfId="27" priority="29">
      <formula>C313&lt;$W$335</formula>
    </cfRule>
  </conditionalFormatting>
  <conditionalFormatting sqref="C341:D372">
    <cfRule type="expression" dxfId="26" priority="30">
      <formula>C341&gt;$W$367</formula>
    </cfRule>
  </conditionalFormatting>
  <conditionalFormatting sqref="C341:D372">
    <cfRule type="expression" dxfId="25" priority="31">
      <formula>C341&lt;$W$367</formula>
    </cfRule>
  </conditionalFormatting>
  <conditionalFormatting sqref="A7:U372">
    <cfRule type="expression" dxfId="24" priority="32">
      <formula>OR($B7="domingo",$B7="feriado",$B7="vacaciones")</formula>
    </cfRule>
  </conditionalFormatting>
  <pageMargins left="0.25" right="0.25" top="0.75" bottom="0.75" header="0" footer="0"/>
  <pageSetup paperSize="9" fitToHeight="0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K1228"/>
  <sheetViews>
    <sheetView topLeftCell="A1127" workbookViewId="0">
      <selection activeCell="A1128" sqref="A1128"/>
    </sheetView>
  </sheetViews>
  <sheetFormatPr baseColWidth="10" defaultColWidth="12.5703125" defaultRowHeight="15.75" customHeight="1"/>
  <cols>
    <col min="1" max="1" width="22" bestFit="1" customWidth="1"/>
    <col min="2" max="2" width="33.42578125" bestFit="1" customWidth="1"/>
    <col min="3" max="3" width="20.140625" bestFit="1" customWidth="1"/>
    <col min="4" max="4" width="16.140625" bestFit="1" customWidth="1"/>
    <col min="5" max="5" width="17.42578125" bestFit="1" customWidth="1"/>
    <col min="6" max="6" width="15.42578125" bestFit="1" customWidth="1"/>
    <col min="7" max="7" width="20.5703125" bestFit="1" customWidth="1"/>
    <col min="8" max="8" width="15.42578125" bestFit="1" customWidth="1"/>
    <col min="9" max="9" width="17.42578125" bestFit="1" customWidth="1"/>
    <col min="10" max="10" width="30.42578125" bestFit="1" customWidth="1"/>
  </cols>
  <sheetData>
    <row r="1" spans="1:10">
      <c r="A1" s="487" t="s">
        <v>155</v>
      </c>
      <c r="B1" s="456"/>
      <c r="C1" s="456"/>
      <c r="D1" s="456"/>
      <c r="E1" s="456"/>
      <c r="F1" s="456"/>
      <c r="G1" s="456"/>
      <c r="H1" s="456"/>
      <c r="I1" s="456"/>
      <c r="J1" s="444"/>
    </row>
    <row r="2" spans="1:10">
      <c r="A2" s="215"/>
      <c r="B2" s="214"/>
      <c r="C2" s="445"/>
      <c r="D2" s="214"/>
      <c r="E2" s="220"/>
      <c r="F2" s="220"/>
      <c r="G2" s="220"/>
      <c r="H2" s="220"/>
      <c r="I2" s="220"/>
      <c r="J2" s="444"/>
    </row>
    <row r="3" spans="1:10" ht="15.75" customHeight="1">
      <c r="A3" s="217"/>
      <c r="B3" s="218"/>
      <c r="C3" s="446"/>
      <c r="D3" s="218"/>
      <c r="E3" s="219">
        <f>SUM(E7:E1057)</f>
        <v>0</v>
      </c>
      <c r="F3" s="219">
        <f>SUM(F7:F1057)</f>
        <v>0</v>
      </c>
      <c r="G3" s="219">
        <f>SUM(G7:G1057)</f>
        <v>0</v>
      </c>
      <c r="H3" s="219">
        <f>SUM(H7:H1057)</f>
        <v>0</v>
      </c>
      <c r="I3" s="219">
        <f>SUM(I7:I1057)</f>
        <v>0</v>
      </c>
      <c r="J3" s="451">
        <f>SUMIF(C7:C1057,"A",I7:I1057)+SUMIF(C7:C1057,"B",I7:I1057)</f>
        <v>0</v>
      </c>
    </row>
    <row r="4" spans="1:10">
      <c r="A4" s="215" t="s">
        <v>156</v>
      </c>
      <c r="B4" s="214" t="s">
        <v>157</v>
      </c>
      <c r="C4" s="445" t="s">
        <v>158</v>
      </c>
      <c r="D4" s="214" t="s">
        <v>159</v>
      </c>
      <c r="E4" s="220" t="s">
        <v>56</v>
      </c>
      <c r="F4" s="220" t="s">
        <v>160</v>
      </c>
      <c r="G4" s="220" t="s">
        <v>161</v>
      </c>
      <c r="H4" s="220" t="s">
        <v>162</v>
      </c>
      <c r="I4" s="214" t="s">
        <v>163</v>
      </c>
      <c r="J4" s="444" t="s">
        <v>164</v>
      </c>
    </row>
    <row r="5" spans="1:10" ht="15">
      <c r="A5" s="488" t="s">
        <v>19</v>
      </c>
      <c r="B5" s="486"/>
      <c r="C5" s="486"/>
      <c r="D5" s="486"/>
      <c r="E5" s="486"/>
      <c r="F5" s="486"/>
      <c r="G5" s="486"/>
      <c r="H5" s="486"/>
      <c r="I5" s="486"/>
      <c r="J5" s="486"/>
    </row>
    <row r="6" spans="1:10" ht="15">
      <c r="A6" s="217"/>
      <c r="B6" s="218"/>
      <c r="C6" s="446"/>
      <c r="D6" s="218"/>
      <c r="E6" s="221"/>
      <c r="F6" s="222"/>
      <c r="G6" s="221"/>
      <c r="H6" s="221"/>
      <c r="I6" s="221">
        <f t="shared" ref="I6:I105" si="0">SUM(E6:H6)</f>
        <v>0</v>
      </c>
      <c r="J6" s="447"/>
    </row>
    <row r="7" spans="1:10" ht="15">
      <c r="A7" s="217"/>
      <c r="B7" s="218"/>
      <c r="C7" s="446"/>
      <c r="D7" s="218"/>
      <c r="E7" s="222"/>
      <c r="F7" s="222"/>
      <c r="G7" s="221"/>
      <c r="H7" s="222"/>
      <c r="I7" s="221">
        <f t="shared" si="0"/>
        <v>0</v>
      </c>
      <c r="J7" s="447"/>
    </row>
    <row r="8" spans="1:10" ht="15">
      <c r="A8" s="217"/>
      <c r="B8" s="218"/>
      <c r="C8" s="446"/>
      <c r="D8" s="218"/>
      <c r="E8" s="221"/>
      <c r="F8" s="222"/>
      <c r="G8" s="221"/>
      <c r="H8" s="221"/>
      <c r="I8" s="221">
        <f t="shared" si="0"/>
        <v>0</v>
      </c>
      <c r="J8" s="447"/>
    </row>
    <row r="9" spans="1:10" ht="15">
      <c r="A9" s="217"/>
      <c r="B9" s="218"/>
      <c r="C9" s="446"/>
      <c r="D9" s="218"/>
      <c r="E9" s="221"/>
      <c r="F9" s="222"/>
      <c r="G9" s="221"/>
      <c r="H9" s="221"/>
      <c r="I9" s="221">
        <f t="shared" si="0"/>
        <v>0</v>
      </c>
      <c r="J9" s="447"/>
    </row>
    <row r="10" spans="1:10" ht="15">
      <c r="A10" s="217"/>
      <c r="B10" s="218"/>
      <c r="C10" s="446"/>
      <c r="D10" s="218"/>
      <c r="E10" s="222"/>
      <c r="F10" s="222"/>
      <c r="G10" s="221"/>
      <c r="H10" s="222"/>
      <c r="I10" s="221">
        <f t="shared" si="0"/>
        <v>0</v>
      </c>
      <c r="J10" s="447"/>
    </row>
    <row r="11" spans="1:10" ht="15">
      <c r="A11" s="217"/>
      <c r="B11" s="218"/>
      <c r="C11" s="446"/>
      <c r="D11" s="218"/>
      <c r="E11" s="221"/>
      <c r="F11" s="222"/>
      <c r="G11" s="221"/>
      <c r="H11" s="221"/>
      <c r="I11" s="221">
        <f t="shared" si="0"/>
        <v>0</v>
      </c>
      <c r="J11" s="447"/>
    </row>
    <row r="12" spans="1:10" ht="15">
      <c r="A12" s="217"/>
      <c r="B12" s="218"/>
      <c r="C12" s="446"/>
      <c r="D12" s="218"/>
      <c r="E12" s="221"/>
      <c r="F12" s="222"/>
      <c r="G12" s="221"/>
      <c r="H12" s="221"/>
      <c r="I12" s="221">
        <f t="shared" si="0"/>
        <v>0</v>
      </c>
      <c r="J12" s="447"/>
    </row>
    <row r="13" spans="1:10" ht="15">
      <c r="A13" s="217"/>
      <c r="B13" s="218"/>
      <c r="C13" s="446"/>
      <c r="D13" s="218"/>
      <c r="E13" s="221"/>
      <c r="F13" s="222"/>
      <c r="G13" s="221"/>
      <c r="H13" s="221"/>
      <c r="I13" s="221">
        <f t="shared" si="0"/>
        <v>0</v>
      </c>
      <c r="J13" s="447"/>
    </row>
    <row r="14" spans="1:10" ht="15">
      <c r="A14" s="217"/>
      <c r="B14" s="218"/>
      <c r="C14" s="446"/>
      <c r="D14" s="218"/>
      <c r="E14" s="222"/>
      <c r="F14" s="222"/>
      <c r="G14" s="221"/>
      <c r="H14" s="222"/>
      <c r="I14" s="221">
        <f t="shared" si="0"/>
        <v>0</v>
      </c>
      <c r="J14" s="447"/>
    </row>
    <row r="15" spans="1:10" ht="15">
      <c r="A15" s="217"/>
      <c r="B15" s="218"/>
      <c r="C15" s="446"/>
      <c r="D15" s="218"/>
      <c r="E15" s="222"/>
      <c r="F15" s="222"/>
      <c r="G15" s="221"/>
      <c r="H15" s="222"/>
      <c r="I15" s="221">
        <f t="shared" si="0"/>
        <v>0</v>
      </c>
      <c r="J15" s="447"/>
    </row>
    <row r="16" spans="1:10" ht="15">
      <c r="A16" s="217"/>
      <c r="B16" s="218"/>
      <c r="C16" s="446"/>
      <c r="D16" s="218"/>
      <c r="E16" s="221"/>
      <c r="F16" s="222"/>
      <c r="G16" s="221"/>
      <c r="H16" s="221"/>
      <c r="I16" s="221">
        <f t="shared" si="0"/>
        <v>0</v>
      </c>
      <c r="J16" s="447"/>
    </row>
    <row r="17" spans="1:10" ht="15">
      <c r="A17" s="217"/>
      <c r="B17" s="218"/>
      <c r="C17" s="446"/>
      <c r="D17" s="218"/>
      <c r="E17" s="221"/>
      <c r="F17" s="222"/>
      <c r="G17" s="221"/>
      <c r="H17" s="221"/>
      <c r="I17" s="221">
        <f t="shared" si="0"/>
        <v>0</v>
      </c>
      <c r="J17" s="447"/>
    </row>
    <row r="18" spans="1:10" ht="15">
      <c r="A18" s="217"/>
      <c r="B18" s="218"/>
      <c r="C18" s="446"/>
      <c r="D18" s="218"/>
      <c r="E18" s="221"/>
      <c r="F18" s="222"/>
      <c r="G18" s="221"/>
      <c r="H18" s="221"/>
      <c r="I18" s="221">
        <f t="shared" si="0"/>
        <v>0</v>
      </c>
      <c r="J18" s="447"/>
    </row>
    <row r="19" spans="1:10" ht="15">
      <c r="A19" s="217"/>
      <c r="B19" s="218"/>
      <c r="C19" s="446"/>
      <c r="D19" s="218"/>
      <c r="E19" s="222"/>
      <c r="F19" s="222"/>
      <c r="G19" s="221"/>
      <c r="H19" s="222"/>
      <c r="I19" s="221">
        <f t="shared" si="0"/>
        <v>0</v>
      </c>
      <c r="J19" s="447"/>
    </row>
    <row r="20" spans="1:10" ht="15">
      <c r="A20" s="217"/>
      <c r="B20" s="218"/>
      <c r="C20" s="446"/>
      <c r="D20" s="218"/>
      <c r="E20" s="222"/>
      <c r="F20" s="222"/>
      <c r="G20" s="221"/>
      <c r="H20" s="222"/>
      <c r="I20" s="221">
        <f t="shared" si="0"/>
        <v>0</v>
      </c>
      <c r="J20" s="447"/>
    </row>
    <row r="21" spans="1:10" ht="15">
      <c r="A21" s="217"/>
      <c r="B21" s="218"/>
      <c r="C21" s="446"/>
      <c r="D21" s="218"/>
      <c r="E21" s="222"/>
      <c r="F21" s="222"/>
      <c r="G21" s="221"/>
      <c r="H21" s="222"/>
      <c r="I21" s="221">
        <f t="shared" si="0"/>
        <v>0</v>
      </c>
      <c r="J21" s="447"/>
    </row>
    <row r="22" spans="1:10" ht="15">
      <c r="A22" s="217"/>
      <c r="B22" s="218"/>
      <c r="C22" s="446"/>
      <c r="D22" s="218"/>
      <c r="E22" s="222"/>
      <c r="F22" s="222"/>
      <c r="G22" s="221"/>
      <c r="H22" s="222"/>
      <c r="I22" s="221">
        <f t="shared" si="0"/>
        <v>0</v>
      </c>
      <c r="J22" s="447"/>
    </row>
    <row r="23" spans="1:10" ht="15">
      <c r="A23" s="217"/>
      <c r="B23" s="218"/>
      <c r="C23" s="446"/>
      <c r="D23" s="218"/>
      <c r="E23" s="222"/>
      <c r="F23" s="222"/>
      <c r="G23" s="221"/>
      <c r="H23" s="222"/>
      <c r="I23" s="221">
        <f t="shared" si="0"/>
        <v>0</v>
      </c>
      <c r="J23" s="447"/>
    </row>
    <row r="24" spans="1:10" ht="15">
      <c r="A24" s="217"/>
      <c r="B24" s="218"/>
      <c r="C24" s="446"/>
      <c r="D24" s="218"/>
      <c r="E24" s="222"/>
      <c r="F24" s="222"/>
      <c r="G24" s="221"/>
      <c r="H24" s="222"/>
      <c r="I24" s="221">
        <f t="shared" si="0"/>
        <v>0</v>
      </c>
      <c r="J24" s="447"/>
    </row>
    <row r="25" spans="1:10" ht="15">
      <c r="A25" s="217"/>
      <c r="B25" s="218"/>
      <c r="C25" s="446"/>
      <c r="D25" s="218"/>
      <c r="E25" s="222"/>
      <c r="F25" s="222"/>
      <c r="G25" s="221"/>
      <c r="H25" s="222"/>
      <c r="I25" s="221">
        <f t="shared" si="0"/>
        <v>0</v>
      </c>
      <c r="J25" s="447"/>
    </row>
    <row r="26" spans="1:10" ht="15">
      <c r="A26" s="217"/>
      <c r="B26" s="218"/>
      <c r="C26" s="446"/>
      <c r="D26" s="218"/>
      <c r="E26" s="221"/>
      <c r="F26" s="224"/>
      <c r="G26" s="224"/>
      <c r="H26" s="222"/>
      <c r="I26" s="221">
        <f t="shared" si="0"/>
        <v>0</v>
      </c>
      <c r="J26" s="447"/>
    </row>
    <row r="27" spans="1:10" ht="15">
      <c r="A27" s="217"/>
      <c r="B27" s="218"/>
      <c r="C27" s="446"/>
      <c r="D27" s="226"/>
      <c r="E27" s="221"/>
      <c r="F27" s="224"/>
      <c r="G27" s="224"/>
      <c r="H27" s="222"/>
      <c r="I27" s="221">
        <f t="shared" si="0"/>
        <v>0</v>
      </c>
      <c r="J27" s="447"/>
    </row>
    <row r="28" spans="1:10" ht="15">
      <c r="A28" s="217"/>
      <c r="B28" s="218"/>
      <c r="C28" s="446"/>
      <c r="D28" s="218"/>
      <c r="E28" s="221"/>
      <c r="F28" s="224"/>
      <c r="G28" s="224"/>
      <c r="H28" s="222"/>
      <c r="I28" s="221">
        <f t="shared" si="0"/>
        <v>0</v>
      </c>
      <c r="J28" s="447"/>
    </row>
    <row r="29" spans="1:10" ht="15">
      <c r="A29" s="217"/>
      <c r="B29" s="218"/>
      <c r="C29" s="446"/>
      <c r="D29" s="218"/>
      <c r="E29" s="221"/>
      <c r="F29" s="224"/>
      <c r="G29" s="224"/>
      <c r="H29" s="222"/>
      <c r="I29" s="221">
        <f t="shared" si="0"/>
        <v>0</v>
      </c>
      <c r="J29" s="447"/>
    </row>
    <row r="30" spans="1:10" ht="15">
      <c r="A30" s="217"/>
      <c r="B30" s="218"/>
      <c r="C30" s="446"/>
      <c r="D30" s="218"/>
      <c r="E30" s="221"/>
      <c r="F30" s="224"/>
      <c r="G30" s="224"/>
      <c r="H30" s="222"/>
      <c r="I30" s="221">
        <f t="shared" si="0"/>
        <v>0</v>
      </c>
      <c r="J30" s="447"/>
    </row>
    <row r="31" spans="1:10" ht="15">
      <c r="A31" s="217"/>
      <c r="B31" s="218"/>
      <c r="C31" s="446"/>
      <c r="D31" s="218"/>
      <c r="E31" s="221"/>
      <c r="F31" s="224"/>
      <c r="G31" s="224"/>
      <c r="H31" s="222"/>
      <c r="I31" s="221">
        <f t="shared" si="0"/>
        <v>0</v>
      </c>
      <c r="J31" s="447"/>
    </row>
    <row r="32" spans="1:10" ht="15">
      <c r="A32" s="217"/>
      <c r="B32" s="218"/>
      <c r="C32" s="446"/>
      <c r="D32" s="218"/>
      <c r="E32" s="221"/>
      <c r="F32" s="224"/>
      <c r="G32" s="224"/>
      <c r="H32" s="222"/>
      <c r="I32" s="221">
        <f t="shared" si="0"/>
        <v>0</v>
      </c>
      <c r="J32" s="447"/>
    </row>
    <row r="33" spans="1:10" ht="15">
      <c r="A33" s="217"/>
      <c r="B33" s="218"/>
      <c r="C33" s="446"/>
      <c r="D33" s="218"/>
      <c r="E33" s="221"/>
      <c r="F33" s="224"/>
      <c r="G33" s="224"/>
      <c r="H33" s="222"/>
      <c r="I33" s="221">
        <f t="shared" si="0"/>
        <v>0</v>
      </c>
      <c r="J33" s="447"/>
    </row>
    <row r="34" spans="1:10" ht="15">
      <c r="A34" s="217"/>
      <c r="B34" s="218"/>
      <c r="C34" s="446"/>
      <c r="D34" s="218"/>
      <c r="E34" s="221"/>
      <c r="F34" s="224"/>
      <c r="G34" s="224"/>
      <c r="H34" s="222"/>
      <c r="I34" s="221">
        <f t="shared" si="0"/>
        <v>0</v>
      </c>
      <c r="J34" s="447"/>
    </row>
    <row r="35" spans="1:10" ht="15">
      <c r="A35" s="217"/>
      <c r="B35" s="218"/>
      <c r="C35" s="446"/>
      <c r="D35" s="218"/>
      <c r="E35" s="221"/>
      <c r="F35" s="224"/>
      <c r="G35" s="224"/>
      <c r="H35" s="222"/>
      <c r="I35" s="221">
        <f t="shared" si="0"/>
        <v>0</v>
      </c>
      <c r="J35" s="447"/>
    </row>
    <row r="36" spans="1:10" ht="15">
      <c r="A36" s="217"/>
      <c r="B36" s="218"/>
      <c r="C36" s="446"/>
      <c r="D36" s="218"/>
      <c r="E36" s="221"/>
      <c r="F36" s="224"/>
      <c r="G36" s="224"/>
      <c r="H36" s="222"/>
      <c r="I36" s="221">
        <f t="shared" si="0"/>
        <v>0</v>
      </c>
      <c r="J36" s="447"/>
    </row>
    <row r="37" spans="1:10" ht="15">
      <c r="A37" s="217"/>
      <c r="B37" s="218"/>
      <c r="C37" s="446"/>
      <c r="D37" s="218"/>
      <c r="E37" s="221"/>
      <c r="F37" s="224"/>
      <c r="G37" s="224"/>
      <c r="H37" s="222"/>
      <c r="I37" s="221">
        <f t="shared" si="0"/>
        <v>0</v>
      </c>
      <c r="J37" s="447"/>
    </row>
    <row r="38" spans="1:10" ht="15">
      <c r="A38" s="217"/>
      <c r="B38" s="218"/>
      <c r="C38" s="446"/>
      <c r="D38" s="218"/>
      <c r="E38" s="221"/>
      <c r="F38" s="224"/>
      <c r="G38" s="224"/>
      <c r="H38" s="222"/>
      <c r="I38" s="221">
        <f t="shared" si="0"/>
        <v>0</v>
      </c>
      <c r="J38" s="447"/>
    </row>
    <row r="39" spans="1:10" ht="15">
      <c r="A39" s="217"/>
      <c r="B39" s="218"/>
      <c r="C39" s="446"/>
      <c r="D39" s="218"/>
      <c r="E39" s="221"/>
      <c r="F39" s="224"/>
      <c r="G39" s="224"/>
      <c r="H39" s="222"/>
      <c r="I39" s="221">
        <f t="shared" si="0"/>
        <v>0</v>
      </c>
      <c r="J39" s="447"/>
    </row>
    <row r="40" spans="1:10" ht="15">
      <c r="A40" s="217"/>
      <c r="B40" s="218"/>
      <c r="C40" s="446"/>
      <c r="D40" s="218"/>
      <c r="E40" s="221"/>
      <c r="F40" s="224"/>
      <c r="G40" s="224"/>
      <c r="H40" s="222"/>
      <c r="I40" s="221">
        <f t="shared" si="0"/>
        <v>0</v>
      </c>
      <c r="J40" s="447"/>
    </row>
    <row r="41" spans="1:10" ht="15">
      <c r="A41" s="217"/>
      <c r="B41" s="218"/>
      <c r="C41" s="446"/>
      <c r="D41" s="218"/>
      <c r="E41" s="221"/>
      <c r="F41" s="224"/>
      <c r="G41" s="224"/>
      <c r="H41" s="222"/>
      <c r="I41" s="221">
        <f t="shared" si="0"/>
        <v>0</v>
      </c>
      <c r="J41" s="447"/>
    </row>
    <row r="42" spans="1:10" ht="15">
      <c r="A42" s="217"/>
      <c r="B42" s="218"/>
      <c r="C42" s="446"/>
      <c r="D42" s="218"/>
      <c r="E42" s="221"/>
      <c r="F42" s="224"/>
      <c r="G42" s="224"/>
      <c r="H42" s="222"/>
      <c r="I42" s="221">
        <f t="shared" si="0"/>
        <v>0</v>
      </c>
      <c r="J42" s="447"/>
    </row>
    <row r="43" spans="1:10" ht="15">
      <c r="A43" s="217"/>
      <c r="B43" s="218"/>
      <c r="C43" s="446"/>
      <c r="D43" s="218"/>
      <c r="E43" s="221"/>
      <c r="F43" s="224"/>
      <c r="G43" s="224"/>
      <c r="H43" s="222"/>
      <c r="I43" s="221">
        <f t="shared" si="0"/>
        <v>0</v>
      </c>
      <c r="J43" s="447"/>
    </row>
    <row r="44" spans="1:10" ht="15">
      <c r="A44" s="217"/>
      <c r="B44" s="218"/>
      <c r="C44" s="446"/>
      <c r="D44" s="226"/>
      <c r="E44" s="221"/>
      <c r="F44" s="224"/>
      <c r="G44" s="224"/>
      <c r="H44" s="222"/>
      <c r="I44" s="221">
        <f t="shared" si="0"/>
        <v>0</v>
      </c>
      <c r="J44" s="447"/>
    </row>
    <row r="45" spans="1:10" ht="15">
      <c r="A45" s="217"/>
      <c r="B45" s="218"/>
      <c r="C45" s="446"/>
      <c r="D45" s="218"/>
      <c r="E45" s="221"/>
      <c r="F45" s="224"/>
      <c r="G45" s="224"/>
      <c r="H45" s="222"/>
      <c r="I45" s="221">
        <f t="shared" si="0"/>
        <v>0</v>
      </c>
      <c r="J45" s="447"/>
    </row>
    <row r="46" spans="1:10" ht="15">
      <c r="A46" s="217"/>
      <c r="B46" s="218"/>
      <c r="C46" s="446"/>
      <c r="D46" s="218"/>
      <c r="E46" s="221"/>
      <c r="F46" s="224"/>
      <c r="G46" s="224"/>
      <c r="H46" s="222"/>
      <c r="I46" s="221">
        <f t="shared" si="0"/>
        <v>0</v>
      </c>
      <c r="J46" s="447"/>
    </row>
    <row r="47" spans="1:10" ht="15">
      <c r="A47" s="217"/>
      <c r="B47" s="218"/>
      <c r="C47" s="446"/>
      <c r="D47" s="218"/>
      <c r="E47" s="221"/>
      <c r="F47" s="224"/>
      <c r="G47" s="224"/>
      <c r="H47" s="222"/>
      <c r="I47" s="221">
        <f t="shared" si="0"/>
        <v>0</v>
      </c>
      <c r="J47" s="447"/>
    </row>
    <row r="48" spans="1:10" ht="15">
      <c r="A48" s="217"/>
      <c r="B48" s="218"/>
      <c r="C48" s="446"/>
      <c r="D48" s="218"/>
      <c r="E48" s="221"/>
      <c r="F48" s="224"/>
      <c r="G48" s="224"/>
      <c r="H48" s="222"/>
      <c r="I48" s="221">
        <f t="shared" si="0"/>
        <v>0</v>
      </c>
      <c r="J48" s="447"/>
    </row>
    <row r="49" spans="1:10" ht="15">
      <c r="A49" s="217"/>
      <c r="B49" s="218"/>
      <c r="C49" s="446"/>
      <c r="D49" s="218"/>
      <c r="E49" s="221"/>
      <c r="F49" s="224"/>
      <c r="G49" s="224"/>
      <c r="H49" s="222"/>
      <c r="I49" s="221">
        <f t="shared" si="0"/>
        <v>0</v>
      </c>
      <c r="J49" s="447"/>
    </row>
    <row r="50" spans="1:10" ht="15">
      <c r="A50" s="217"/>
      <c r="B50" s="218"/>
      <c r="C50" s="446"/>
      <c r="D50" s="218"/>
      <c r="E50" s="221"/>
      <c r="F50" s="224"/>
      <c r="G50" s="224"/>
      <c r="H50" s="222"/>
      <c r="I50" s="221">
        <f t="shared" si="0"/>
        <v>0</v>
      </c>
      <c r="J50" s="447"/>
    </row>
    <row r="51" spans="1:10" ht="15">
      <c r="A51" s="217"/>
      <c r="B51" s="218"/>
      <c r="C51" s="446"/>
      <c r="D51" s="218"/>
      <c r="E51" s="221"/>
      <c r="F51" s="224"/>
      <c r="G51" s="224"/>
      <c r="H51" s="222"/>
      <c r="I51" s="221">
        <f t="shared" si="0"/>
        <v>0</v>
      </c>
      <c r="J51" s="447"/>
    </row>
    <row r="52" spans="1:10" ht="15">
      <c r="A52" s="217"/>
      <c r="B52" s="218"/>
      <c r="C52" s="446"/>
      <c r="D52" s="218"/>
      <c r="E52" s="221"/>
      <c r="F52" s="448"/>
      <c r="G52" s="448"/>
      <c r="H52" s="222"/>
      <c r="I52" s="221">
        <f t="shared" si="0"/>
        <v>0</v>
      </c>
      <c r="J52" s="447"/>
    </row>
    <row r="53" spans="1:10" ht="15">
      <c r="A53" s="217"/>
      <c r="B53" s="218"/>
      <c r="C53" s="446"/>
      <c r="D53" s="218"/>
      <c r="E53" s="221"/>
      <c r="F53" s="448"/>
      <c r="G53" s="448"/>
      <c r="H53" s="222"/>
      <c r="I53" s="221">
        <f t="shared" si="0"/>
        <v>0</v>
      </c>
      <c r="J53" s="447"/>
    </row>
    <row r="54" spans="1:10" ht="15">
      <c r="A54" s="217"/>
      <c r="B54" s="218"/>
      <c r="C54" s="446"/>
      <c r="D54" s="218"/>
      <c r="E54" s="221"/>
      <c r="F54" s="448"/>
      <c r="G54" s="448"/>
      <c r="H54" s="222"/>
      <c r="I54" s="221">
        <f t="shared" si="0"/>
        <v>0</v>
      </c>
      <c r="J54" s="447"/>
    </row>
    <row r="55" spans="1:10" ht="15">
      <c r="A55" s="217"/>
      <c r="B55" s="218"/>
      <c r="C55" s="446"/>
      <c r="D55" s="218"/>
      <c r="E55" s="221"/>
      <c r="F55" s="448"/>
      <c r="G55" s="448"/>
      <c r="H55" s="222"/>
      <c r="I55" s="221">
        <f t="shared" si="0"/>
        <v>0</v>
      </c>
      <c r="J55" s="447"/>
    </row>
    <row r="56" spans="1:10" ht="15">
      <c r="A56" s="217"/>
      <c r="B56" s="218"/>
      <c r="C56" s="446"/>
      <c r="D56" s="218"/>
      <c r="E56" s="221"/>
      <c r="F56" s="448"/>
      <c r="G56" s="448"/>
      <c r="H56" s="222"/>
      <c r="I56" s="221">
        <f t="shared" si="0"/>
        <v>0</v>
      </c>
      <c r="J56" s="447"/>
    </row>
    <row r="57" spans="1:10" ht="15">
      <c r="A57" s="217"/>
      <c r="B57" s="218"/>
      <c r="C57" s="446"/>
      <c r="D57" s="218"/>
      <c r="E57" s="221"/>
      <c r="F57" s="448"/>
      <c r="G57" s="448"/>
      <c r="H57" s="222"/>
      <c r="I57" s="221">
        <f t="shared" si="0"/>
        <v>0</v>
      </c>
      <c r="J57" s="447"/>
    </row>
    <row r="58" spans="1:10" ht="15">
      <c r="A58" s="217"/>
      <c r="B58" s="218"/>
      <c r="C58" s="446"/>
      <c r="D58" s="218"/>
      <c r="E58" s="221"/>
      <c r="F58" s="448"/>
      <c r="G58" s="448"/>
      <c r="H58" s="222"/>
      <c r="I58" s="221">
        <f t="shared" si="0"/>
        <v>0</v>
      </c>
      <c r="J58" s="447"/>
    </row>
    <row r="59" spans="1:10" ht="15">
      <c r="A59" s="217"/>
      <c r="B59" s="218"/>
      <c r="C59" s="446"/>
      <c r="D59" s="218"/>
      <c r="E59" s="221"/>
      <c r="F59" s="448"/>
      <c r="G59" s="448"/>
      <c r="H59" s="222"/>
      <c r="I59" s="221">
        <f t="shared" si="0"/>
        <v>0</v>
      </c>
      <c r="J59" s="447"/>
    </row>
    <row r="60" spans="1:10" ht="15">
      <c r="A60" s="217"/>
      <c r="B60" s="218"/>
      <c r="C60" s="446"/>
      <c r="D60" s="218"/>
      <c r="E60" s="221"/>
      <c r="F60" s="448"/>
      <c r="G60" s="448"/>
      <c r="H60" s="222"/>
      <c r="I60" s="221">
        <f t="shared" si="0"/>
        <v>0</v>
      </c>
      <c r="J60" s="447"/>
    </row>
    <row r="61" spans="1:10" ht="15">
      <c r="A61" s="217"/>
      <c r="B61" s="218"/>
      <c r="C61" s="446"/>
      <c r="D61" s="218"/>
      <c r="E61" s="221"/>
      <c r="F61" s="448"/>
      <c r="G61" s="448"/>
      <c r="H61" s="222"/>
      <c r="I61" s="221">
        <f t="shared" si="0"/>
        <v>0</v>
      </c>
      <c r="J61" s="447"/>
    </row>
    <row r="62" spans="1:10" ht="15">
      <c r="A62" s="217"/>
      <c r="B62" s="218"/>
      <c r="C62" s="446"/>
      <c r="D62" s="218"/>
      <c r="E62" s="221"/>
      <c r="F62" s="448"/>
      <c r="G62" s="448"/>
      <c r="H62" s="222"/>
      <c r="I62" s="221">
        <f t="shared" si="0"/>
        <v>0</v>
      </c>
      <c r="J62" s="447"/>
    </row>
    <row r="63" spans="1:10" ht="15">
      <c r="A63" s="217"/>
      <c r="B63" s="218"/>
      <c r="C63" s="446"/>
      <c r="D63" s="218"/>
      <c r="E63" s="221"/>
      <c r="F63" s="448"/>
      <c r="G63" s="448"/>
      <c r="H63" s="222"/>
      <c r="I63" s="221">
        <f t="shared" si="0"/>
        <v>0</v>
      </c>
      <c r="J63" s="447"/>
    </row>
    <row r="64" spans="1:10" ht="15">
      <c r="A64" s="217"/>
      <c r="B64" s="218"/>
      <c r="C64" s="446"/>
      <c r="D64" s="218"/>
      <c r="E64" s="221"/>
      <c r="F64" s="448"/>
      <c r="G64" s="448"/>
      <c r="H64" s="222"/>
      <c r="I64" s="221">
        <f t="shared" si="0"/>
        <v>0</v>
      </c>
      <c r="J64" s="447"/>
    </row>
    <row r="65" spans="1:10" ht="15">
      <c r="A65" s="217"/>
      <c r="B65" s="218"/>
      <c r="C65" s="446"/>
      <c r="D65" s="218"/>
      <c r="E65" s="221"/>
      <c r="F65" s="448"/>
      <c r="G65" s="448"/>
      <c r="H65" s="222"/>
      <c r="I65" s="221">
        <f t="shared" si="0"/>
        <v>0</v>
      </c>
      <c r="J65" s="447"/>
    </row>
    <row r="66" spans="1:10" ht="15">
      <c r="A66" s="217"/>
      <c r="B66" s="218"/>
      <c r="C66" s="446"/>
      <c r="D66" s="218"/>
      <c r="E66" s="221"/>
      <c r="F66" s="448"/>
      <c r="G66" s="448"/>
      <c r="H66" s="222"/>
      <c r="I66" s="221">
        <f t="shared" si="0"/>
        <v>0</v>
      </c>
      <c r="J66" s="447"/>
    </row>
    <row r="67" spans="1:10" ht="15">
      <c r="A67" s="217"/>
      <c r="B67" s="218"/>
      <c r="C67" s="446"/>
      <c r="D67" s="218"/>
      <c r="E67" s="221"/>
      <c r="F67" s="448"/>
      <c r="G67" s="448"/>
      <c r="H67" s="222"/>
      <c r="I67" s="221">
        <f t="shared" si="0"/>
        <v>0</v>
      </c>
      <c r="J67" s="447"/>
    </row>
    <row r="68" spans="1:10" ht="15">
      <c r="A68" s="217"/>
      <c r="B68" s="218"/>
      <c r="C68" s="446"/>
      <c r="D68" s="218"/>
      <c r="E68" s="221"/>
      <c r="F68" s="448"/>
      <c r="G68" s="448"/>
      <c r="H68" s="222"/>
      <c r="I68" s="221">
        <f t="shared" si="0"/>
        <v>0</v>
      </c>
      <c r="J68" s="447"/>
    </row>
    <row r="69" spans="1:10" ht="15">
      <c r="A69" s="217"/>
      <c r="B69" s="218"/>
      <c r="C69" s="446"/>
      <c r="D69" s="218"/>
      <c r="E69" s="221"/>
      <c r="F69" s="448"/>
      <c r="G69" s="448"/>
      <c r="H69" s="222"/>
      <c r="I69" s="221">
        <f t="shared" si="0"/>
        <v>0</v>
      </c>
      <c r="J69" s="447"/>
    </row>
    <row r="70" spans="1:10" ht="15">
      <c r="A70" s="217"/>
      <c r="B70" s="218"/>
      <c r="C70" s="446"/>
      <c r="D70" s="218"/>
      <c r="E70" s="221"/>
      <c r="F70" s="448"/>
      <c r="G70" s="448"/>
      <c r="H70" s="222"/>
      <c r="I70" s="221">
        <f t="shared" si="0"/>
        <v>0</v>
      </c>
      <c r="J70" s="447"/>
    </row>
    <row r="71" spans="1:10" ht="15">
      <c r="A71" s="217"/>
      <c r="B71" s="218"/>
      <c r="C71" s="446"/>
      <c r="D71" s="218"/>
      <c r="E71" s="221"/>
      <c r="F71" s="448"/>
      <c r="G71" s="448"/>
      <c r="H71" s="222"/>
      <c r="I71" s="221">
        <f t="shared" si="0"/>
        <v>0</v>
      </c>
      <c r="J71" s="447"/>
    </row>
    <row r="72" spans="1:10" ht="15">
      <c r="A72" s="217"/>
      <c r="B72" s="218"/>
      <c r="C72" s="446"/>
      <c r="D72" s="218"/>
      <c r="E72" s="221"/>
      <c r="F72" s="448"/>
      <c r="G72" s="448"/>
      <c r="H72" s="222"/>
      <c r="I72" s="221">
        <f t="shared" si="0"/>
        <v>0</v>
      </c>
      <c r="J72" s="447"/>
    </row>
    <row r="73" spans="1:10" ht="15">
      <c r="A73" s="217"/>
      <c r="B73" s="218"/>
      <c r="C73" s="446"/>
      <c r="D73" s="218"/>
      <c r="E73" s="221"/>
      <c r="F73" s="448"/>
      <c r="G73" s="448"/>
      <c r="H73" s="222"/>
      <c r="I73" s="221">
        <f t="shared" si="0"/>
        <v>0</v>
      </c>
      <c r="J73" s="447"/>
    </row>
    <row r="74" spans="1:10" ht="15">
      <c r="A74" s="217"/>
      <c r="B74" s="218"/>
      <c r="C74" s="446"/>
      <c r="D74" s="218"/>
      <c r="E74" s="221"/>
      <c r="F74" s="448"/>
      <c r="G74" s="448"/>
      <c r="H74" s="222"/>
      <c r="I74" s="221">
        <f t="shared" si="0"/>
        <v>0</v>
      </c>
      <c r="J74" s="447"/>
    </row>
    <row r="75" spans="1:10" ht="15">
      <c r="A75" s="217"/>
      <c r="B75" s="218"/>
      <c r="C75" s="446"/>
      <c r="D75" s="218"/>
      <c r="E75" s="221"/>
      <c r="F75" s="448"/>
      <c r="G75" s="448"/>
      <c r="H75" s="222"/>
      <c r="I75" s="221">
        <f t="shared" si="0"/>
        <v>0</v>
      </c>
      <c r="J75" s="447"/>
    </row>
    <row r="76" spans="1:10" ht="15">
      <c r="A76" s="217"/>
      <c r="B76" s="218"/>
      <c r="C76" s="446"/>
      <c r="D76" s="218"/>
      <c r="E76" s="221"/>
      <c r="F76" s="448"/>
      <c r="G76" s="448"/>
      <c r="H76" s="222"/>
      <c r="I76" s="221">
        <f t="shared" si="0"/>
        <v>0</v>
      </c>
      <c r="J76" s="447"/>
    </row>
    <row r="77" spans="1:10" ht="15">
      <c r="A77" s="217"/>
      <c r="B77" s="218"/>
      <c r="C77" s="446"/>
      <c r="D77" s="218"/>
      <c r="E77" s="221"/>
      <c r="F77" s="448"/>
      <c r="G77" s="448"/>
      <c r="H77" s="222"/>
      <c r="I77" s="221">
        <f t="shared" si="0"/>
        <v>0</v>
      </c>
      <c r="J77" s="447"/>
    </row>
    <row r="78" spans="1:10" ht="15">
      <c r="A78" s="217"/>
      <c r="B78" s="218"/>
      <c r="C78" s="446"/>
      <c r="D78" s="218"/>
      <c r="E78" s="221"/>
      <c r="F78" s="448"/>
      <c r="G78" s="448"/>
      <c r="H78" s="222"/>
      <c r="I78" s="221">
        <f t="shared" si="0"/>
        <v>0</v>
      </c>
      <c r="J78" s="447"/>
    </row>
    <row r="79" spans="1:10" ht="15">
      <c r="A79" s="217"/>
      <c r="B79" s="218"/>
      <c r="C79" s="446"/>
      <c r="D79" s="218"/>
      <c r="E79" s="221"/>
      <c r="F79" s="448"/>
      <c r="G79" s="448"/>
      <c r="H79" s="222"/>
      <c r="I79" s="221">
        <f t="shared" si="0"/>
        <v>0</v>
      </c>
      <c r="J79" s="447"/>
    </row>
    <row r="80" spans="1:10" ht="15">
      <c r="A80" s="217"/>
      <c r="B80" s="218"/>
      <c r="C80" s="446"/>
      <c r="D80" s="218"/>
      <c r="E80" s="221"/>
      <c r="F80" s="448"/>
      <c r="G80" s="448"/>
      <c r="H80" s="222"/>
      <c r="I80" s="221">
        <f t="shared" si="0"/>
        <v>0</v>
      </c>
      <c r="J80" s="447"/>
    </row>
    <row r="81" spans="1:10" ht="15">
      <c r="A81" s="217"/>
      <c r="B81" s="218"/>
      <c r="C81" s="446"/>
      <c r="D81" s="218"/>
      <c r="E81" s="221"/>
      <c r="F81" s="448"/>
      <c r="G81" s="448"/>
      <c r="H81" s="222"/>
      <c r="I81" s="221">
        <f t="shared" si="0"/>
        <v>0</v>
      </c>
      <c r="J81" s="447"/>
    </row>
    <row r="82" spans="1:10" ht="15">
      <c r="A82" s="217"/>
      <c r="B82" s="218"/>
      <c r="C82" s="446"/>
      <c r="D82" s="218"/>
      <c r="E82" s="221"/>
      <c r="F82" s="448"/>
      <c r="G82" s="448"/>
      <c r="H82" s="222"/>
      <c r="I82" s="221">
        <f t="shared" si="0"/>
        <v>0</v>
      </c>
      <c r="J82" s="447"/>
    </row>
    <row r="83" spans="1:10" ht="15">
      <c r="A83" s="217"/>
      <c r="B83" s="218"/>
      <c r="C83" s="446"/>
      <c r="D83" s="218"/>
      <c r="E83" s="221"/>
      <c r="F83" s="448"/>
      <c r="G83" s="448"/>
      <c r="H83" s="222"/>
      <c r="I83" s="221">
        <f t="shared" si="0"/>
        <v>0</v>
      </c>
      <c r="J83" s="447"/>
    </row>
    <row r="84" spans="1:10" ht="15">
      <c r="A84" s="217"/>
      <c r="B84" s="218"/>
      <c r="C84" s="446"/>
      <c r="D84" s="218"/>
      <c r="E84" s="221"/>
      <c r="F84" s="448"/>
      <c r="G84" s="448"/>
      <c r="H84" s="222"/>
      <c r="I84" s="221">
        <f t="shared" si="0"/>
        <v>0</v>
      </c>
      <c r="J84" s="447"/>
    </row>
    <row r="85" spans="1:10" ht="15">
      <c r="A85" s="217"/>
      <c r="B85" s="218"/>
      <c r="C85" s="446"/>
      <c r="D85" s="218"/>
      <c r="E85" s="221"/>
      <c r="F85" s="448"/>
      <c r="G85" s="448"/>
      <c r="H85" s="222"/>
      <c r="I85" s="221">
        <f t="shared" si="0"/>
        <v>0</v>
      </c>
      <c r="J85" s="447"/>
    </row>
    <row r="86" spans="1:10" ht="15">
      <c r="A86" s="217"/>
      <c r="B86" s="218"/>
      <c r="C86" s="446"/>
      <c r="D86" s="218"/>
      <c r="E86" s="221"/>
      <c r="F86" s="448"/>
      <c r="G86" s="448"/>
      <c r="H86" s="222"/>
      <c r="I86" s="221">
        <f t="shared" si="0"/>
        <v>0</v>
      </c>
      <c r="J86" s="447"/>
    </row>
    <row r="87" spans="1:10" ht="15">
      <c r="A87" s="217"/>
      <c r="B87" s="218"/>
      <c r="C87" s="446"/>
      <c r="D87" s="218"/>
      <c r="E87" s="221"/>
      <c r="F87" s="448"/>
      <c r="G87" s="448"/>
      <c r="H87" s="222"/>
      <c r="I87" s="221">
        <f t="shared" si="0"/>
        <v>0</v>
      </c>
      <c r="J87" s="447"/>
    </row>
    <row r="88" spans="1:10" ht="15">
      <c r="A88" s="217"/>
      <c r="B88" s="218"/>
      <c r="C88" s="446"/>
      <c r="D88" s="218"/>
      <c r="E88" s="221"/>
      <c r="F88" s="448"/>
      <c r="G88" s="448"/>
      <c r="H88" s="222"/>
      <c r="I88" s="221">
        <f t="shared" si="0"/>
        <v>0</v>
      </c>
      <c r="J88" s="447"/>
    </row>
    <row r="89" spans="1:10" ht="15">
      <c r="A89" s="217"/>
      <c r="B89" s="218"/>
      <c r="C89" s="446"/>
      <c r="D89" s="218"/>
      <c r="E89" s="221"/>
      <c r="F89" s="448"/>
      <c r="G89" s="448"/>
      <c r="H89" s="222"/>
      <c r="I89" s="221">
        <f t="shared" si="0"/>
        <v>0</v>
      </c>
      <c r="J89" s="447"/>
    </row>
    <row r="90" spans="1:10" ht="15">
      <c r="A90" s="217"/>
      <c r="B90" s="218"/>
      <c r="C90" s="446"/>
      <c r="D90" s="218"/>
      <c r="E90" s="221"/>
      <c r="F90" s="448"/>
      <c r="G90" s="448"/>
      <c r="H90" s="222"/>
      <c r="I90" s="221">
        <f t="shared" si="0"/>
        <v>0</v>
      </c>
      <c r="J90" s="447"/>
    </row>
    <row r="91" spans="1:10" ht="15">
      <c r="A91" s="217"/>
      <c r="B91" s="218"/>
      <c r="C91" s="446"/>
      <c r="D91" s="218"/>
      <c r="E91" s="221"/>
      <c r="F91" s="448"/>
      <c r="G91" s="448"/>
      <c r="H91" s="222"/>
      <c r="I91" s="221">
        <f t="shared" si="0"/>
        <v>0</v>
      </c>
      <c r="J91" s="447"/>
    </row>
    <row r="92" spans="1:10" ht="15">
      <c r="A92" s="217"/>
      <c r="B92" s="218"/>
      <c r="C92" s="446"/>
      <c r="D92" s="218"/>
      <c r="E92" s="221"/>
      <c r="F92" s="448"/>
      <c r="G92" s="448"/>
      <c r="H92" s="222"/>
      <c r="I92" s="221">
        <f t="shared" si="0"/>
        <v>0</v>
      </c>
      <c r="J92" s="447"/>
    </row>
    <row r="93" spans="1:10" ht="15">
      <c r="A93" s="217"/>
      <c r="B93" s="218"/>
      <c r="C93" s="446"/>
      <c r="D93" s="218"/>
      <c r="E93" s="221"/>
      <c r="F93" s="448"/>
      <c r="G93" s="448"/>
      <c r="H93" s="222"/>
      <c r="I93" s="221">
        <f t="shared" si="0"/>
        <v>0</v>
      </c>
      <c r="J93" s="447"/>
    </row>
    <row r="94" spans="1:10" ht="15">
      <c r="A94" s="217"/>
      <c r="B94" s="218"/>
      <c r="C94" s="446"/>
      <c r="D94" s="218"/>
      <c r="E94" s="221"/>
      <c r="F94" s="448"/>
      <c r="G94" s="448"/>
      <c r="H94" s="222"/>
      <c r="I94" s="221">
        <f t="shared" si="0"/>
        <v>0</v>
      </c>
      <c r="J94" s="447"/>
    </row>
    <row r="95" spans="1:10" ht="15">
      <c r="A95" s="217"/>
      <c r="B95" s="218"/>
      <c r="C95" s="446"/>
      <c r="D95" s="218"/>
      <c r="E95" s="221"/>
      <c r="F95" s="448"/>
      <c r="G95" s="448"/>
      <c r="H95" s="222"/>
      <c r="I95" s="221">
        <f t="shared" si="0"/>
        <v>0</v>
      </c>
      <c r="J95" s="447"/>
    </row>
    <row r="96" spans="1:10" ht="15">
      <c r="A96" s="217"/>
      <c r="B96" s="218"/>
      <c r="C96" s="446"/>
      <c r="D96" s="218"/>
      <c r="E96" s="221"/>
      <c r="F96" s="448"/>
      <c r="G96" s="448"/>
      <c r="H96" s="222"/>
      <c r="I96" s="221">
        <f t="shared" si="0"/>
        <v>0</v>
      </c>
      <c r="J96" s="447"/>
    </row>
    <row r="97" spans="1:11" ht="15">
      <c r="A97" s="217"/>
      <c r="B97" s="218"/>
      <c r="C97" s="446"/>
      <c r="D97" s="218"/>
      <c r="E97" s="221"/>
      <c r="F97" s="448"/>
      <c r="G97" s="448"/>
      <c r="H97" s="222"/>
      <c r="I97" s="221">
        <f t="shared" si="0"/>
        <v>0</v>
      </c>
      <c r="J97" s="447"/>
    </row>
    <row r="98" spans="1:11" ht="15">
      <c r="A98" s="217"/>
      <c r="B98" s="218"/>
      <c r="C98" s="446"/>
      <c r="D98" s="218"/>
      <c r="E98" s="221"/>
      <c r="F98" s="448"/>
      <c r="G98" s="448"/>
      <c r="H98" s="222"/>
      <c r="I98" s="221">
        <f t="shared" si="0"/>
        <v>0</v>
      </c>
      <c r="J98" s="447"/>
    </row>
    <row r="99" spans="1:11" ht="15">
      <c r="A99" s="217"/>
      <c r="B99" s="218"/>
      <c r="C99" s="446"/>
      <c r="D99" s="218"/>
      <c r="E99" s="221"/>
      <c r="F99" s="448"/>
      <c r="G99" s="448"/>
      <c r="H99" s="222"/>
      <c r="I99" s="221">
        <f t="shared" si="0"/>
        <v>0</v>
      </c>
      <c r="J99" s="447"/>
    </row>
    <row r="100" spans="1:11" ht="15">
      <c r="A100" s="217"/>
      <c r="B100" s="218"/>
      <c r="C100" s="446"/>
      <c r="D100" s="218"/>
      <c r="E100" s="221"/>
      <c r="F100" s="448"/>
      <c r="G100" s="448"/>
      <c r="H100" s="222"/>
      <c r="I100" s="221">
        <f t="shared" si="0"/>
        <v>0</v>
      </c>
      <c r="J100" s="447"/>
    </row>
    <row r="101" spans="1:11" ht="15">
      <c r="A101" s="217"/>
      <c r="B101" s="218"/>
      <c r="C101" s="446"/>
      <c r="D101" s="218"/>
      <c r="E101" s="221"/>
      <c r="F101" s="448"/>
      <c r="G101" s="448"/>
      <c r="H101" s="222"/>
      <c r="I101" s="221">
        <f t="shared" si="0"/>
        <v>0</v>
      </c>
      <c r="J101" s="447"/>
    </row>
    <row r="102" spans="1:11">
      <c r="A102" s="217"/>
      <c r="B102" s="218"/>
      <c r="C102" s="446"/>
      <c r="D102" s="218"/>
      <c r="E102" s="221"/>
      <c r="F102" s="448"/>
      <c r="G102" s="448"/>
      <c r="H102" s="222"/>
      <c r="I102" s="221">
        <f t="shared" si="0"/>
        <v>0</v>
      </c>
      <c r="J102" s="218" t="s">
        <v>56</v>
      </c>
      <c r="K102" s="449">
        <f>SUM(E6:E105)</f>
        <v>0</v>
      </c>
    </row>
    <row r="103" spans="1:11">
      <c r="A103" s="217"/>
      <c r="B103" s="218"/>
      <c r="C103" s="446"/>
      <c r="D103" s="218"/>
      <c r="E103" s="221"/>
      <c r="F103" s="448"/>
      <c r="G103" s="448"/>
      <c r="H103" s="222"/>
      <c r="I103" s="221">
        <f t="shared" si="0"/>
        <v>0</v>
      </c>
      <c r="J103" s="218" t="s">
        <v>160</v>
      </c>
      <c r="K103" s="449">
        <f>SUM(F6:F105)</f>
        <v>0</v>
      </c>
    </row>
    <row r="104" spans="1:11">
      <c r="A104" s="217"/>
      <c r="B104" s="218"/>
      <c r="C104" s="446"/>
      <c r="D104" s="218"/>
      <c r="E104" s="221"/>
      <c r="F104" s="448"/>
      <c r="G104" s="448"/>
      <c r="H104" s="222"/>
      <c r="I104" s="221">
        <f t="shared" si="0"/>
        <v>0</v>
      </c>
      <c r="J104" s="218" t="s">
        <v>72</v>
      </c>
      <c r="K104" s="449">
        <f>SUM(G6:G105)</f>
        <v>0</v>
      </c>
    </row>
    <row r="105" spans="1:11">
      <c r="A105" s="217"/>
      <c r="B105" s="218"/>
      <c r="C105" s="446"/>
      <c r="D105" s="218"/>
      <c r="E105" s="221"/>
      <c r="F105" s="448"/>
      <c r="G105" s="448"/>
      <c r="H105" s="222"/>
      <c r="I105" s="221">
        <f t="shared" si="0"/>
        <v>0</v>
      </c>
      <c r="J105" s="218" t="s">
        <v>162</v>
      </c>
      <c r="K105" s="449">
        <f>SUM(H6:H105)</f>
        <v>0</v>
      </c>
    </row>
    <row r="106" spans="1:11">
      <c r="A106" s="218"/>
      <c r="B106" s="218"/>
      <c r="C106" s="218"/>
      <c r="D106" s="218"/>
      <c r="E106" s="218"/>
      <c r="F106" s="218"/>
      <c r="G106" s="218"/>
      <c r="H106" s="222"/>
      <c r="J106" s="452" t="s">
        <v>163</v>
      </c>
      <c r="K106" s="450">
        <f>SUM(K102:K105)</f>
        <v>0</v>
      </c>
    </row>
    <row r="107" spans="1:11" thickBot="1">
      <c r="A107" s="485" t="s">
        <v>20</v>
      </c>
      <c r="B107" s="486"/>
      <c r="C107" s="486"/>
      <c r="D107" s="486"/>
      <c r="E107" s="486"/>
      <c r="F107" s="486"/>
      <c r="G107" s="486"/>
      <c r="H107" s="486"/>
      <c r="I107" s="486"/>
      <c r="J107" s="486"/>
    </row>
    <row r="108" spans="1:11" ht="15">
      <c r="A108" s="217"/>
      <c r="B108" s="218"/>
      <c r="C108" s="446"/>
      <c r="D108" s="218"/>
      <c r="E108" s="221"/>
      <c r="F108" s="222"/>
      <c r="G108" s="221"/>
      <c r="H108" s="221"/>
      <c r="I108" s="221">
        <f t="shared" ref="I108:I207" si="1">SUM(E108:H108)</f>
        <v>0</v>
      </c>
      <c r="J108" s="447"/>
    </row>
    <row r="109" spans="1:11" ht="15">
      <c r="A109" s="217"/>
      <c r="B109" s="218"/>
      <c r="C109" s="446"/>
      <c r="D109" s="218"/>
      <c r="E109" s="222"/>
      <c r="F109" s="222"/>
      <c r="G109" s="221"/>
      <c r="H109" s="222"/>
      <c r="I109" s="221">
        <f t="shared" si="1"/>
        <v>0</v>
      </c>
      <c r="J109" s="447"/>
    </row>
    <row r="110" spans="1:11" ht="15">
      <c r="A110" s="217"/>
      <c r="B110" s="218"/>
      <c r="C110" s="446"/>
      <c r="D110" s="218"/>
      <c r="E110" s="221"/>
      <c r="F110" s="222"/>
      <c r="G110" s="221"/>
      <c r="H110" s="221"/>
      <c r="I110" s="221">
        <f t="shared" si="1"/>
        <v>0</v>
      </c>
      <c r="J110" s="447"/>
    </row>
    <row r="111" spans="1:11" ht="15">
      <c r="A111" s="217"/>
      <c r="B111" s="218"/>
      <c r="C111" s="446"/>
      <c r="D111" s="218"/>
      <c r="E111" s="221"/>
      <c r="F111" s="222"/>
      <c r="G111" s="221"/>
      <c r="H111" s="221"/>
      <c r="I111" s="221">
        <f t="shared" si="1"/>
        <v>0</v>
      </c>
      <c r="J111" s="447"/>
    </row>
    <row r="112" spans="1:11" ht="15">
      <c r="A112" s="217"/>
      <c r="B112" s="218"/>
      <c r="C112" s="446"/>
      <c r="D112" s="218"/>
      <c r="E112" s="222"/>
      <c r="F112" s="222"/>
      <c r="G112" s="221"/>
      <c r="H112" s="222"/>
      <c r="I112" s="221">
        <f t="shared" si="1"/>
        <v>0</v>
      </c>
      <c r="J112" s="447"/>
    </row>
    <row r="113" spans="1:10" ht="15">
      <c r="A113" s="217"/>
      <c r="B113" s="218"/>
      <c r="C113" s="446"/>
      <c r="D113" s="218"/>
      <c r="E113" s="221"/>
      <c r="F113" s="222"/>
      <c r="G113" s="221"/>
      <c r="H113" s="221"/>
      <c r="I113" s="221">
        <f t="shared" si="1"/>
        <v>0</v>
      </c>
      <c r="J113" s="447"/>
    </row>
    <row r="114" spans="1:10" ht="15">
      <c r="A114" s="217"/>
      <c r="B114" s="218"/>
      <c r="C114" s="446"/>
      <c r="D114" s="218"/>
      <c r="E114" s="221"/>
      <c r="F114" s="222"/>
      <c r="G114" s="221"/>
      <c r="H114" s="221"/>
      <c r="I114" s="221">
        <f t="shared" si="1"/>
        <v>0</v>
      </c>
      <c r="J114" s="447"/>
    </row>
    <row r="115" spans="1:10" ht="15">
      <c r="A115" s="217"/>
      <c r="B115" s="218"/>
      <c r="C115" s="446"/>
      <c r="D115" s="218"/>
      <c r="E115" s="221"/>
      <c r="F115" s="222"/>
      <c r="G115" s="221"/>
      <c r="H115" s="221"/>
      <c r="I115" s="221">
        <f t="shared" si="1"/>
        <v>0</v>
      </c>
      <c r="J115" s="447"/>
    </row>
    <row r="116" spans="1:10" ht="15">
      <c r="A116" s="217"/>
      <c r="B116" s="218"/>
      <c r="C116" s="446"/>
      <c r="D116" s="218"/>
      <c r="E116" s="222"/>
      <c r="F116" s="222"/>
      <c r="G116" s="221"/>
      <c r="H116" s="222"/>
      <c r="I116" s="221">
        <f t="shared" si="1"/>
        <v>0</v>
      </c>
      <c r="J116" s="447"/>
    </row>
    <row r="117" spans="1:10" ht="15">
      <c r="A117" s="217"/>
      <c r="B117" s="218"/>
      <c r="C117" s="446"/>
      <c r="D117" s="218"/>
      <c r="E117" s="222"/>
      <c r="F117" s="222"/>
      <c r="G117" s="221"/>
      <c r="H117" s="222"/>
      <c r="I117" s="221">
        <f t="shared" si="1"/>
        <v>0</v>
      </c>
      <c r="J117" s="447"/>
    </row>
    <row r="118" spans="1:10" ht="15">
      <c r="A118" s="217"/>
      <c r="B118" s="218"/>
      <c r="C118" s="446"/>
      <c r="D118" s="218"/>
      <c r="E118" s="221"/>
      <c r="F118" s="222"/>
      <c r="G118" s="221"/>
      <c r="H118" s="221"/>
      <c r="I118" s="221">
        <f t="shared" si="1"/>
        <v>0</v>
      </c>
      <c r="J118" s="447"/>
    </row>
    <row r="119" spans="1:10" ht="15">
      <c r="A119" s="217"/>
      <c r="B119" s="218"/>
      <c r="C119" s="446"/>
      <c r="D119" s="218"/>
      <c r="E119" s="221"/>
      <c r="F119" s="222"/>
      <c r="G119" s="221"/>
      <c r="H119" s="221"/>
      <c r="I119" s="221">
        <f t="shared" si="1"/>
        <v>0</v>
      </c>
      <c r="J119" s="447"/>
    </row>
    <row r="120" spans="1:10" ht="15">
      <c r="A120" s="217"/>
      <c r="B120" s="218"/>
      <c r="C120" s="446"/>
      <c r="D120" s="218"/>
      <c r="E120" s="221"/>
      <c r="F120" s="222"/>
      <c r="G120" s="221"/>
      <c r="H120" s="221"/>
      <c r="I120" s="221">
        <f t="shared" si="1"/>
        <v>0</v>
      </c>
      <c r="J120" s="447"/>
    </row>
    <row r="121" spans="1:10" ht="15">
      <c r="A121" s="217"/>
      <c r="B121" s="218"/>
      <c r="C121" s="446"/>
      <c r="D121" s="218"/>
      <c r="E121" s="222"/>
      <c r="F121" s="222"/>
      <c r="G121" s="221"/>
      <c r="H121" s="222"/>
      <c r="I121" s="221">
        <f t="shared" si="1"/>
        <v>0</v>
      </c>
      <c r="J121" s="447"/>
    </row>
    <row r="122" spans="1:10" ht="15">
      <c r="A122" s="217"/>
      <c r="B122" s="218"/>
      <c r="C122" s="446"/>
      <c r="D122" s="218"/>
      <c r="E122" s="222"/>
      <c r="F122" s="222"/>
      <c r="G122" s="221"/>
      <c r="H122" s="222"/>
      <c r="I122" s="221">
        <f t="shared" si="1"/>
        <v>0</v>
      </c>
      <c r="J122" s="447"/>
    </row>
    <row r="123" spans="1:10" ht="15">
      <c r="A123" s="217"/>
      <c r="B123" s="218"/>
      <c r="C123" s="446"/>
      <c r="D123" s="218"/>
      <c r="E123" s="222"/>
      <c r="F123" s="222"/>
      <c r="G123" s="221"/>
      <c r="H123" s="222"/>
      <c r="I123" s="221">
        <f t="shared" si="1"/>
        <v>0</v>
      </c>
      <c r="J123" s="447"/>
    </row>
    <row r="124" spans="1:10" ht="15">
      <c r="A124" s="217"/>
      <c r="B124" s="218"/>
      <c r="C124" s="446"/>
      <c r="D124" s="218"/>
      <c r="E124" s="222"/>
      <c r="F124" s="222"/>
      <c r="G124" s="221"/>
      <c r="H124" s="222"/>
      <c r="I124" s="221">
        <f t="shared" si="1"/>
        <v>0</v>
      </c>
      <c r="J124" s="447"/>
    </row>
    <row r="125" spans="1:10" ht="15">
      <c r="A125" s="217"/>
      <c r="B125" s="218"/>
      <c r="C125" s="446"/>
      <c r="D125" s="218"/>
      <c r="E125" s="222"/>
      <c r="F125" s="222"/>
      <c r="G125" s="221"/>
      <c r="H125" s="222"/>
      <c r="I125" s="221">
        <f t="shared" si="1"/>
        <v>0</v>
      </c>
      <c r="J125" s="447"/>
    </row>
    <row r="126" spans="1:10" ht="15">
      <c r="A126" s="217"/>
      <c r="B126" s="218"/>
      <c r="C126" s="446"/>
      <c r="D126" s="218"/>
      <c r="E126" s="222"/>
      <c r="F126" s="222"/>
      <c r="G126" s="221"/>
      <c r="H126" s="222"/>
      <c r="I126" s="221">
        <f t="shared" si="1"/>
        <v>0</v>
      </c>
      <c r="J126" s="447"/>
    </row>
    <row r="127" spans="1:10" ht="15">
      <c r="A127" s="217"/>
      <c r="B127" s="218"/>
      <c r="C127" s="446"/>
      <c r="D127" s="218"/>
      <c r="E127" s="222"/>
      <c r="F127" s="222"/>
      <c r="G127" s="221"/>
      <c r="H127" s="222"/>
      <c r="I127" s="221">
        <f t="shared" si="1"/>
        <v>0</v>
      </c>
      <c r="J127" s="447"/>
    </row>
    <row r="128" spans="1:10" ht="15">
      <c r="A128" s="217"/>
      <c r="B128" s="218"/>
      <c r="C128" s="446"/>
      <c r="D128" s="218"/>
      <c r="E128" s="221"/>
      <c r="F128" s="224"/>
      <c r="G128" s="224"/>
      <c r="H128" s="222"/>
      <c r="I128" s="221">
        <f t="shared" si="1"/>
        <v>0</v>
      </c>
      <c r="J128" s="447"/>
    </row>
    <row r="129" spans="1:10" ht="15">
      <c r="A129" s="217"/>
      <c r="B129" s="218"/>
      <c r="C129" s="446"/>
      <c r="D129" s="226"/>
      <c r="E129" s="221"/>
      <c r="F129" s="224"/>
      <c r="G129" s="224"/>
      <c r="H129" s="222"/>
      <c r="I129" s="221">
        <f t="shared" si="1"/>
        <v>0</v>
      </c>
      <c r="J129" s="447"/>
    </row>
    <row r="130" spans="1:10" ht="15">
      <c r="A130" s="217"/>
      <c r="B130" s="218"/>
      <c r="C130" s="446"/>
      <c r="D130" s="218"/>
      <c r="E130" s="221"/>
      <c r="F130" s="224"/>
      <c r="G130" s="224"/>
      <c r="H130" s="222"/>
      <c r="I130" s="221">
        <f t="shared" si="1"/>
        <v>0</v>
      </c>
      <c r="J130" s="447"/>
    </row>
    <row r="131" spans="1:10" ht="15">
      <c r="A131" s="217"/>
      <c r="B131" s="218"/>
      <c r="C131" s="446"/>
      <c r="D131" s="218"/>
      <c r="E131" s="221"/>
      <c r="F131" s="224"/>
      <c r="G131" s="224"/>
      <c r="H131" s="222"/>
      <c r="I131" s="221">
        <f t="shared" si="1"/>
        <v>0</v>
      </c>
      <c r="J131" s="447"/>
    </row>
    <row r="132" spans="1:10" ht="15">
      <c r="A132" s="217"/>
      <c r="B132" s="218"/>
      <c r="C132" s="446"/>
      <c r="D132" s="218"/>
      <c r="E132" s="221"/>
      <c r="F132" s="224"/>
      <c r="G132" s="224"/>
      <c r="H132" s="222"/>
      <c r="I132" s="221">
        <f t="shared" si="1"/>
        <v>0</v>
      </c>
      <c r="J132" s="447"/>
    </row>
    <row r="133" spans="1:10" ht="15">
      <c r="A133" s="217"/>
      <c r="B133" s="218"/>
      <c r="C133" s="446"/>
      <c r="D133" s="218"/>
      <c r="E133" s="221"/>
      <c r="F133" s="224"/>
      <c r="G133" s="224"/>
      <c r="H133" s="222"/>
      <c r="I133" s="221">
        <f t="shared" si="1"/>
        <v>0</v>
      </c>
      <c r="J133" s="447"/>
    </row>
    <row r="134" spans="1:10" ht="15">
      <c r="A134" s="217"/>
      <c r="B134" s="218"/>
      <c r="C134" s="446"/>
      <c r="D134" s="218"/>
      <c r="E134" s="221"/>
      <c r="F134" s="224"/>
      <c r="G134" s="224"/>
      <c r="H134" s="222"/>
      <c r="I134" s="221">
        <f t="shared" si="1"/>
        <v>0</v>
      </c>
      <c r="J134" s="447"/>
    </row>
    <row r="135" spans="1:10" ht="15">
      <c r="A135" s="217"/>
      <c r="B135" s="218"/>
      <c r="C135" s="446"/>
      <c r="D135" s="218"/>
      <c r="E135" s="221"/>
      <c r="F135" s="224"/>
      <c r="G135" s="224"/>
      <c r="H135" s="222"/>
      <c r="I135" s="221">
        <f t="shared" si="1"/>
        <v>0</v>
      </c>
      <c r="J135" s="447"/>
    </row>
    <row r="136" spans="1:10" ht="15">
      <c r="A136" s="217"/>
      <c r="B136" s="218"/>
      <c r="C136" s="446"/>
      <c r="D136" s="218"/>
      <c r="E136" s="221"/>
      <c r="F136" s="224"/>
      <c r="G136" s="224"/>
      <c r="H136" s="222"/>
      <c r="I136" s="221">
        <f t="shared" si="1"/>
        <v>0</v>
      </c>
      <c r="J136" s="447"/>
    </row>
    <row r="137" spans="1:10" ht="15">
      <c r="A137" s="217"/>
      <c r="B137" s="218"/>
      <c r="C137" s="446"/>
      <c r="D137" s="218"/>
      <c r="E137" s="221"/>
      <c r="F137" s="224"/>
      <c r="G137" s="224"/>
      <c r="H137" s="222"/>
      <c r="I137" s="221">
        <f t="shared" si="1"/>
        <v>0</v>
      </c>
      <c r="J137" s="447"/>
    </row>
    <row r="138" spans="1:10" ht="15">
      <c r="A138" s="217"/>
      <c r="B138" s="218"/>
      <c r="C138" s="446"/>
      <c r="D138" s="218"/>
      <c r="E138" s="221"/>
      <c r="F138" s="224"/>
      <c r="G138" s="224"/>
      <c r="H138" s="222"/>
      <c r="I138" s="221">
        <f t="shared" si="1"/>
        <v>0</v>
      </c>
      <c r="J138" s="447"/>
    </row>
    <row r="139" spans="1:10" ht="15">
      <c r="A139" s="217"/>
      <c r="B139" s="218"/>
      <c r="C139" s="446"/>
      <c r="D139" s="218"/>
      <c r="E139" s="221"/>
      <c r="F139" s="224"/>
      <c r="G139" s="224"/>
      <c r="H139" s="222"/>
      <c r="I139" s="221">
        <f t="shared" si="1"/>
        <v>0</v>
      </c>
      <c r="J139" s="447"/>
    </row>
    <row r="140" spans="1:10" ht="15">
      <c r="A140" s="217"/>
      <c r="B140" s="218"/>
      <c r="C140" s="446"/>
      <c r="D140" s="218"/>
      <c r="E140" s="221"/>
      <c r="F140" s="224"/>
      <c r="G140" s="224"/>
      <c r="H140" s="222"/>
      <c r="I140" s="221">
        <f t="shared" si="1"/>
        <v>0</v>
      </c>
      <c r="J140" s="447"/>
    </row>
    <row r="141" spans="1:10" ht="15">
      <c r="A141" s="217"/>
      <c r="B141" s="218"/>
      <c r="C141" s="446"/>
      <c r="D141" s="218"/>
      <c r="E141" s="221"/>
      <c r="F141" s="224"/>
      <c r="G141" s="224"/>
      <c r="H141" s="222"/>
      <c r="I141" s="221">
        <f t="shared" si="1"/>
        <v>0</v>
      </c>
      <c r="J141" s="447"/>
    </row>
    <row r="142" spans="1:10" ht="15">
      <c r="A142" s="217"/>
      <c r="B142" s="218"/>
      <c r="C142" s="446"/>
      <c r="D142" s="218"/>
      <c r="E142" s="221"/>
      <c r="F142" s="224"/>
      <c r="G142" s="224"/>
      <c r="H142" s="222"/>
      <c r="I142" s="221">
        <f t="shared" si="1"/>
        <v>0</v>
      </c>
      <c r="J142" s="447"/>
    </row>
    <row r="143" spans="1:10" ht="15">
      <c r="A143" s="217"/>
      <c r="B143" s="218"/>
      <c r="C143" s="446"/>
      <c r="D143" s="218"/>
      <c r="E143" s="221"/>
      <c r="F143" s="224"/>
      <c r="G143" s="224"/>
      <c r="H143" s="222"/>
      <c r="I143" s="221">
        <f t="shared" si="1"/>
        <v>0</v>
      </c>
      <c r="J143" s="447"/>
    </row>
    <row r="144" spans="1:10" ht="15">
      <c r="A144" s="217"/>
      <c r="B144" s="218"/>
      <c r="C144" s="446"/>
      <c r="D144" s="218"/>
      <c r="E144" s="221"/>
      <c r="F144" s="224"/>
      <c r="G144" s="224"/>
      <c r="H144" s="222"/>
      <c r="I144" s="221">
        <f t="shared" si="1"/>
        <v>0</v>
      </c>
      <c r="J144" s="447"/>
    </row>
    <row r="145" spans="1:10" ht="15">
      <c r="A145" s="217"/>
      <c r="B145" s="218"/>
      <c r="C145" s="446"/>
      <c r="D145" s="218"/>
      <c r="E145" s="221"/>
      <c r="F145" s="224"/>
      <c r="G145" s="224"/>
      <c r="H145" s="222"/>
      <c r="I145" s="221">
        <f t="shared" si="1"/>
        <v>0</v>
      </c>
      <c r="J145" s="447"/>
    </row>
    <row r="146" spans="1:10" ht="15">
      <c r="A146" s="217"/>
      <c r="B146" s="218"/>
      <c r="C146" s="446"/>
      <c r="D146" s="226"/>
      <c r="E146" s="221"/>
      <c r="F146" s="224"/>
      <c r="G146" s="224"/>
      <c r="H146" s="222"/>
      <c r="I146" s="221">
        <f t="shared" si="1"/>
        <v>0</v>
      </c>
      <c r="J146" s="447"/>
    </row>
    <row r="147" spans="1:10" ht="15">
      <c r="A147" s="217"/>
      <c r="B147" s="218"/>
      <c r="C147" s="446"/>
      <c r="D147" s="218"/>
      <c r="E147" s="221"/>
      <c r="F147" s="224"/>
      <c r="G147" s="224"/>
      <c r="H147" s="222"/>
      <c r="I147" s="221">
        <f t="shared" si="1"/>
        <v>0</v>
      </c>
      <c r="J147" s="447"/>
    </row>
    <row r="148" spans="1:10" ht="15">
      <c r="A148" s="217"/>
      <c r="B148" s="218"/>
      <c r="C148" s="446"/>
      <c r="D148" s="218"/>
      <c r="E148" s="221"/>
      <c r="F148" s="224"/>
      <c r="G148" s="224"/>
      <c r="H148" s="222"/>
      <c r="I148" s="221">
        <f t="shared" si="1"/>
        <v>0</v>
      </c>
      <c r="J148" s="447"/>
    </row>
    <row r="149" spans="1:10" ht="15">
      <c r="A149" s="217"/>
      <c r="B149" s="218"/>
      <c r="C149" s="446"/>
      <c r="D149" s="218"/>
      <c r="E149" s="221"/>
      <c r="F149" s="224"/>
      <c r="G149" s="224"/>
      <c r="H149" s="222"/>
      <c r="I149" s="221">
        <f t="shared" si="1"/>
        <v>0</v>
      </c>
      <c r="J149" s="447"/>
    </row>
    <row r="150" spans="1:10" ht="15">
      <c r="A150" s="217"/>
      <c r="B150" s="218"/>
      <c r="C150" s="446"/>
      <c r="D150" s="218"/>
      <c r="E150" s="221"/>
      <c r="F150" s="224"/>
      <c r="G150" s="224"/>
      <c r="H150" s="222"/>
      <c r="I150" s="221">
        <f t="shared" si="1"/>
        <v>0</v>
      </c>
      <c r="J150" s="447"/>
    </row>
    <row r="151" spans="1:10" ht="15">
      <c r="A151" s="217"/>
      <c r="B151" s="218"/>
      <c r="C151" s="446"/>
      <c r="D151" s="218"/>
      <c r="E151" s="221"/>
      <c r="F151" s="224"/>
      <c r="G151" s="224"/>
      <c r="H151" s="222"/>
      <c r="I151" s="221">
        <f t="shared" si="1"/>
        <v>0</v>
      </c>
      <c r="J151" s="447"/>
    </row>
    <row r="152" spans="1:10" ht="15">
      <c r="A152" s="217"/>
      <c r="B152" s="218"/>
      <c r="C152" s="446"/>
      <c r="D152" s="218"/>
      <c r="E152" s="221"/>
      <c r="F152" s="224"/>
      <c r="G152" s="224"/>
      <c r="H152" s="222"/>
      <c r="I152" s="221">
        <f t="shared" si="1"/>
        <v>0</v>
      </c>
      <c r="J152" s="447"/>
    </row>
    <row r="153" spans="1:10" ht="15">
      <c r="A153" s="217"/>
      <c r="B153" s="218"/>
      <c r="C153" s="446"/>
      <c r="D153" s="218"/>
      <c r="E153" s="221"/>
      <c r="F153" s="224"/>
      <c r="G153" s="224"/>
      <c r="H153" s="222"/>
      <c r="I153" s="221">
        <f t="shared" si="1"/>
        <v>0</v>
      </c>
      <c r="J153" s="447"/>
    </row>
    <row r="154" spans="1:10" ht="15">
      <c r="A154" s="217"/>
      <c r="B154" s="218"/>
      <c r="C154" s="446"/>
      <c r="D154" s="218"/>
      <c r="E154" s="221"/>
      <c r="F154" s="448"/>
      <c r="G154" s="448"/>
      <c r="H154" s="222"/>
      <c r="I154" s="221">
        <f t="shared" si="1"/>
        <v>0</v>
      </c>
      <c r="J154" s="447"/>
    </row>
    <row r="155" spans="1:10" ht="15">
      <c r="A155" s="217"/>
      <c r="B155" s="218"/>
      <c r="C155" s="446"/>
      <c r="D155" s="218"/>
      <c r="E155" s="221"/>
      <c r="F155" s="448"/>
      <c r="G155" s="448"/>
      <c r="H155" s="222"/>
      <c r="I155" s="221">
        <f t="shared" si="1"/>
        <v>0</v>
      </c>
      <c r="J155" s="447"/>
    </row>
    <row r="156" spans="1:10" ht="15">
      <c r="A156" s="217"/>
      <c r="B156" s="218"/>
      <c r="C156" s="446"/>
      <c r="D156" s="218"/>
      <c r="E156" s="221"/>
      <c r="F156" s="448"/>
      <c r="G156" s="448"/>
      <c r="H156" s="222"/>
      <c r="I156" s="221">
        <f t="shared" si="1"/>
        <v>0</v>
      </c>
      <c r="J156" s="447"/>
    </row>
    <row r="157" spans="1:10" ht="15">
      <c r="A157" s="217"/>
      <c r="B157" s="218"/>
      <c r="C157" s="446"/>
      <c r="D157" s="218"/>
      <c r="E157" s="221"/>
      <c r="F157" s="448"/>
      <c r="G157" s="448"/>
      <c r="H157" s="222"/>
      <c r="I157" s="221">
        <f t="shared" si="1"/>
        <v>0</v>
      </c>
      <c r="J157" s="447"/>
    </row>
    <row r="158" spans="1:10" ht="15">
      <c r="A158" s="217"/>
      <c r="B158" s="218"/>
      <c r="C158" s="446"/>
      <c r="D158" s="218"/>
      <c r="E158" s="221"/>
      <c r="F158" s="448"/>
      <c r="G158" s="448"/>
      <c r="H158" s="222"/>
      <c r="I158" s="221">
        <f t="shared" si="1"/>
        <v>0</v>
      </c>
      <c r="J158" s="447"/>
    </row>
    <row r="159" spans="1:10" ht="15">
      <c r="A159" s="217"/>
      <c r="B159" s="218"/>
      <c r="C159" s="446"/>
      <c r="D159" s="218"/>
      <c r="E159" s="221"/>
      <c r="F159" s="448"/>
      <c r="G159" s="448"/>
      <c r="H159" s="222"/>
      <c r="I159" s="221">
        <f t="shared" si="1"/>
        <v>0</v>
      </c>
      <c r="J159" s="447"/>
    </row>
    <row r="160" spans="1:10" ht="15">
      <c r="A160" s="217"/>
      <c r="B160" s="218"/>
      <c r="C160" s="446"/>
      <c r="D160" s="218"/>
      <c r="E160" s="221"/>
      <c r="F160" s="448"/>
      <c r="G160" s="448"/>
      <c r="H160" s="222"/>
      <c r="I160" s="221">
        <f t="shared" si="1"/>
        <v>0</v>
      </c>
      <c r="J160" s="447"/>
    </row>
    <row r="161" spans="1:10" ht="15">
      <c r="A161" s="217"/>
      <c r="B161" s="218"/>
      <c r="C161" s="446"/>
      <c r="D161" s="218"/>
      <c r="E161" s="221"/>
      <c r="F161" s="448"/>
      <c r="G161" s="448"/>
      <c r="H161" s="222"/>
      <c r="I161" s="221">
        <f t="shared" si="1"/>
        <v>0</v>
      </c>
      <c r="J161" s="447"/>
    </row>
    <row r="162" spans="1:10" ht="15">
      <c r="A162" s="217"/>
      <c r="B162" s="218"/>
      <c r="C162" s="446"/>
      <c r="D162" s="218"/>
      <c r="E162" s="221"/>
      <c r="F162" s="448"/>
      <c r="G162" s="448"/>
      <c r="H162" s="222"/>
      <c r="I162" s="221">
        <f t="shared" si="1"/>
        <v>0</v>
      </c>
      <c r="J162" s="447"/>
    </row>
    <row r="163" spans="1:10" ht="15">
      <c r="A163" s="217"/>
      <c r="B163" s="218"/>
      <c r="C163" s="446"/>
      <c r="D163" s="218"/>
      <c r="E163" s="221"/>
      <c r="F163" s="448"/>
      <c r="G163" s="448"/>
      <c r="H163" s="222"/>
      <c r="I163" s="221">
        <f t="shared" si="1"/>
        <v>0</v>
      </c>
      <c r="J163" s="447"/>
    </row>
    <row r="164" spans="1:10" ht="15">
      <c r="A164" s="217"/>
      <c r="B164" s="218"/>
      <c r="C164" s="446"/>
      <c r="D164" s="218"/>
      <c r="E164" s="221"/>
      <c r="F164" s="448"/>
      <c r="G164" s="448"/>
      <c r="H164" s="222"/>
      <c r="I164" s="221">
        <f t="shared" si="1"/>
        <v>0</v>
      </c>
      <c r="J164" s="447"/>
    </row>
    <row r="165" spans="1:10" ht="15">
      <c r="A165" s="217"/>
      <c r="B165" s="218"/>
      <c r="C165" s="446"/>
      <c r="D165" s="218"/>
      <c r="E165" s="221"/>
      <c r="F165" s="448"/>
      <c r="G165" s="448"/>
      <c r="H165" s="222"/>
      <c r="I165" s="221">
        <f t="shared" si="1"/>
        <v>0</v>
      </c>
      <c r="J165" s="447"/>
    </row>
    <row r="166" spans="1:10" ht="15">
      <c r="A166" s="217"/>
      <c r="B166" s="218"/>
      <c r="C166" s="446"/>
      <c r="D166" s="218"/>
      <c r="E166" s="221"/>
      <c r="F166" s="448"/>
      <c r="G166" s="448"/>
      <c r="H166" s="222"/>
      <c r="I166" s="221">
        <f t="shared" si="1"/>
        <v>0</v>
      </c>
      <c r="J166" s="447"/>
    </row>
    <row r="167" spans="1:10" ht="15">
      <c r="A167" s="217"/>
      <c r="B167" s="218"/>
      <c r="C167" s="446"/>
      <c r="D167" s="218"/>
      <c r="E167" s="221"/>
      <c r="F167" s="448"/>
      <c r="G167" s="448"/>
      <c r="H167" s="222"/>
      <c r="I167" s="221">
        <f t="shared" si="1"/>
        <v>0</v>
      </c>
      <c r="J167" s="447"/>
    </row>
    <row r="168" spans="1:10" ht="15">
      <c r="A168" s="217"/>
      <c r="B168" s="218"/>
      <c r="C168" s="446"/>
      <c r="D168" s="218"/>
      <c r="E168" s="221"/>
      <c r="F168" s="448"/>
      <c r="G168" s="448"/>
      <c r="H168" s="222"/>
      <c r="I168" s="221">
        <f t="shared" si="1"/>
        <v>0</v>
      </c>
      <c r="J168" s="447"/>
    </row>
    <row r="169" spans="1:10" ht="15">
      <c r="A169" s="217"/>
      <c r="B169" s="218"/>
      <c r="C169" s="446"/>
      <c r="D169" s="218"/>
      <c r="E169" s="221"/>
      <c r="F169" s="448"/>
      <c r="G169" s="448"/>
      <c r="H169" s="222"/>
      <c r="I169" s="221">
        <f t="shared" si="1"/>
        <v>0</v>
      </c>
      <c r="J169" s="447"/>
    </row>
    <row r="170" spans="1:10" ht="15">
      <c r="A170" s="217"/>
      <c r="B170" s="218"/>
      <c r="C170" s="446"/>
      <c r="D170" s="218"/>
      <c r="E170" s="221"/>
      <c r="F170" s="448"/>
      <c r="G170" s="448"/>
      <c r="H170" s="222"/>
      <c r="I170" s="221">
        <f t="shared" si="1"/>
        <v>0</v>
      </c>
      <c r="J170" s="447"/>
    </row>
    <row r="171" spans="1:10" ht="15">
      <c r="A171" s="217"/>
      <c r="B171" s="218"/>
      <c r="C171" s="446"/>
      <c r="D171" s="218"/>
      <c r="E171" s="221"/>
      <c r="F171" s="448"/>
      <c r="G171" s="448"/>
      <c r="H171" s="222"/>
      <c r="I171" s="221">
        <f t="shared" si="1"/>
        <v>0</v>
      </c>
      <c r="J171" s="447"/>
    </row>
    <row r="172" spans="1:10" ht="15">
      <c r="A172" s="217"/>
      <c r="B172" s="218"/>
      <c r="C172" s="446"/>
      <c r="D172" s="218"/>
      <c r="E172" s="221"/>
      <c r="F172" s="448"/>
      <c r="G172" s="448"/>
      <c r="H172" s="222"/>
      <c r="I172" s="221">
        <f t="shared" si="1"/>
        <v>0</v>
      </c>
      <c r="J172" s="447"/>
    </row>
    <row r="173" spans="1:10" ht="15">
      <c r="A173" s="217"/>
      <c r="B173" s="218"/>
      <c r="C173" s="446"/>
      <c r="D173" s="218"/>
      <c r="E173" s="221"/>
      <c r="F173" s="448"/>
      <c r="G173" s="448"/>
      <c r="H173" s="222"/>
      <c r="I173" s="221">
        <f t="shared" si="1"/>
        <v>0</v>
      </c>
      <c r="J173" s="447"/>
    </row>
    <row r="174" spans="1:10" ht="15">
      <c r="A174" s="217"/>
      <c r="B174" s="218"/>
      <c r="C174" s="446"/>
      <c r="D174" s="218"/>
      <c r="E174" s="221"/>
      <c r="F174" s="448"/>
      <c r="G174" s="448"/>
      <c r="H174" s="222"/>
      <c r="I174" s="221">
        <f t="shared" si="1"/>
        <v>0</v>
      </c>
      <c r="J174" s="447"/>
    </row>
    <row r="175" spans="1:10" ht="15">
      <c r="A175" s="217"/>
      <c r="B175" s="218"/>
      <c r="C175" s="446"/>
      <c r="D175" s="218"/>
      <c r="E175" s="221"/>
      <c r="F175" s="448"/>
      <c r="G175" s="448"/>
      <c r="H175" s="222"/>
      <c r="I175" s="221">
        <f t="shared" si="1"/>
        <v>0</v>
      </c>
      <c r="J175" s="447"/>
    </row>
    <row r="176" spans="1:10" ht="15">
      <c r="A176" s="217"/>
      <c r="B176" s="218"/>
      <c r="C176" s="446"/>
      <c r="D176" s="218"/>
      <c r="E176" s="221"/>
      <c r="F176" s="448"/>
      <c r="G176" s="448"/>
      <c r="H176" s="222"/>
      <c r="I176" s="221">
        <f t="shared" si="1"/>
        <v>0</v>
      </c>
      <c r="J176" s="447"/>
    </row>
    <row r="177" spans="1:10" ht="15">
      <c r="A177" s="217"/>
      <c r="B177" s="218"/>
      <c r="C177" s="446"/>
      <c r="D177" s="218"/>
      <c r="E177" s="221"/>
      <c r="F177" s="448"/>
      <c r="G177" s="448"/>
      <c r="H177" s="222"/>
      <c r="I177" s="221">
        <f t="shared" si="1"/>
        <v>0</v>
      </c>
      <c r="J177" s="447"/>
    </row>
    <row r="178" spans="1:10" ht="15">
      <c r="A178" s="217"/>
      <c r="B178" s="218"/>
      <c r="C178" s="446"/>
      <c r="D178" s="218"/>
      <c r="E178" s="221"/>
      <c r="F178" s="448"/>
      <c r="G178" s="448"/>
      <c r="H178" s="222"/>
      <c r="I178" s="221">
        <f t="shared" si="1"/>
        <v>0</v>
      </c>
      <c r="J178" s="447"/>
    </row>
    <row r="179" spans="1:10" ht="15">
      <c r="A179" s="217"/>
      <c r="B179" s="218"/>
      <c r="C179" s="446"/>
      <c r="D179" s="218"/>
      <c r="E179" s="221"/>
      <c r="F179" s="448"/>
      <c r="G179" s="448"/>
      <c r="H179" s="222"/>
      <c r="I179" s="221">
        <f t="shared" si="1"/>
        <v>0</v>
      </c>
      <c r="J179" s="447"/>
    </row>
    <row r="180" spans="1:10" ht="15">
      <c r="A180" s="217"/>
      <c r="B180" s="218"/>
      <c r="C180" s="446"/>
      <c r="D180" s="218"/>
      <c r="E180" s="221"/>
      <c r="F180" s="448"/>
      <c r="G180" s="448"/>
      <c r="H180" s="222"/>
      <c r="I180" s="221">
        <f t="shared" si="1"/>
        <v>0</v>
      </c>
      <c r="J180" s="447"/>
    </row>
    <row r="181" spans="1:10" ht="15">
      <c r="A181" s="217"/>
      <c r="B181" s="218"/>
      <c r="C181" s="446"/>
      <c r="D181" s="218"/>
      <c r="E181" s="221"/>
      <c r="F181" s="448"/>
      <c r="G181" s="448"/>
      <c r="H181" s="222"/>
      <c r="I181" s="221">
        <f t="shared" si="1"/>
        <v>0</v>
      </c>
      <c r="J181" s="447"/>
    </row>
    <row r="182" spans="1:10" ht="15">
      <c r="A182" s="217"/>
      <c r="B182" s="218"/>
      <c r="C182" s="446"/>
      <c r="D182" s="218"/>
      <c r="E182" s="221"/>
      <c r="F182" s="448"/>
      <c r="G182" s="448"/>
      <c r="H182" s="222"/>
      <c r="I182" s="221">
        <f t="shared" si="1"/>
        <v>0</v>
      </c>
      <c r="J182" s="447"/>
    </row>
    <row r="183" spans="1:10" ht="15">
      <c r="A183" s="217"/>
      <c r="B183" s="218"/>
      <c r="C183" s="446"/>
      <c r="D183" s="218"/>
      <c r="E183" s="221"/>
      <c r="F183" s="448"/>
      <c r="G183" s="448"/>
      <c r="H183" s="222"/>
      <c r="I183" s="221">
        <f t="shared" si="1"/>
        <v>0</v>
      </c>
      <c r="J183" s="447"/>
    </row>
    <row r="184" spans="1:10" ht="15">
      <c r="A184" s="217"/>
      <c r="B184" s="218"/>
      <c r="C184" s="446"/>
      <c r="D184" s="218"/>
      <c r="E184" s="221"/>
      <c r="F184" s="448"/>
      <c r="G184" s="448"/>
      <c r="H184" s="222"/>
      <c r="I184" s="221">
        <f t="shared" si="1"/>
        <v>0</v>
      </c>
      <c r="J184" s="447"/>
    </row>
    <row r="185" spans="1:10" ht="15">
      <c r="A185" s="217"/>
      <c r="B185" s="218"/>
      <c r="C185" s="446"/>
      <c r="D185" s="218"/>
      <c r="E185" s="221"/>
      <c r="F185" s="448"/>
      <c r="G185" s="448"/>
      <c r="H185" s="222"/>
      <c r="I185" s="221">
        <f t="shared" si="1"/>
        <v>0</v>
      </c>
      <c r="J185" s="447"/>
    </row>
    <row r="186" spans="1:10" ht="15">
      <c r="A186" s="217"/>
      <c r="B186" s="218"/>
      <c r="C186" s="446"/>
      <c r="D186" s="218"/>
      <c r="E186" s="221"/>
      <c r="F186" s="448"/>
      <c r="G186" s="448"/>
      <c r="H186" s="222"/>
      <c r="I186" s="221">
        <f t="shared" si="1"/>
        <v>0</v>
      </c>
      <c r="J186" s="447"/>
    </row>
    <row r="187" spans="1:10" ht="15">
      <c r="A187" s="217"/>
      <c r="B187" s="218"/>
      <c r="C187" s="446"/>
      <c r="D187" s="218"/>
      <c r="E187" s="221"/>
      <c r="F187" s="448"/>
      <c r="G187" s="448"/>
      <c r="H187" s="222"/>
      <c r="I187" s="221">
        <f t="shared" si="1"/>
        <v>0</v>
      </c>
      <c r="J187" s="447"/>
    </row>
    <row r="188" spans="1:10" ht="15">
      <c r="A188" s="217"/>
      <c r="B188" s="218"/>
      <c r="C188" s="446"/>
      <c r="D188" s="218"/>
      <c r="E188" s="221"/>
      <c r="F188" s="448"/>
      <c r="G188" s="448"/>
      <c r="H188" s="222"/>
      <c r="I188" s="221">
        <f t="shared" si="1"/>
        <v>0</v>
      </c>
      <c r="J188" s="447"/>
    </row>
    <row r="189" spans="1:10" ht="15">
      <c r="A189" s="217"/>
      <c r="B189" s="218"/>
      <c r="C189" s="446"/>
      <c r="D189" s="218"/>
      <c r="E189" s="221"/>
      <c r="F189" s="448"/>
      <c r="G189" s="448"/>
      <c r="H189" s="222"/>
      <c r="I189" s="221">
        <f t="shared" si="1"/>
        <v>0</v>
      </c>
      <c r="J189" s="447"/>
    </row>
    <row r="190" spans="1:10" ht="15">
      <c r="A190" s="217"/>
      <c r="B190" s="218"/>
      <c r="C190" s="446"/>
      <c r="D190" s="218"/>
      <c r="E190" s="221"/>
      <c r="F190" s="448"/>
      <c r="G190" s="448"/>
      <c r="H190" s="222"/>
      <c r="I190" s="221">
        <f t="shared" si="1"/>
        <v>0</v>
      </c>
      <c r="J190" s="447"/>
    </row>
    <row r="191" spans="1:10" ht="15">
      <c r="A191" s="217"/>
      <c r="B191" s="218"/>
      <c r="C191" s="446"/>
      <c r="D191" s="218"/>
      <c r="E191" s="221"/>
      <c r="F191" s="448"/>
      <c r="G191" s="448"/>
      <c r="H191" s="222"/>
      <c r="I191" s="221">
        <f t="shared" si="1"/>
        <v>0</v>
      </c>
      <c r="J191" s="447"/>
    </row>
    <row r="192" spans="1:10" ht="15">
      <c r="A192" s="217"/>
      <c r="B192" s="218"/>
      <c r="C192" s="446"/>
      <c r="D192" s="218"/>
      <c r="E192" s="221"/>
      <c r="F192" s="448"/>
      <c r="G192" s="448"/>
      <c r="H192" s="222"/>
      <c r="I192" s="221">
        <f t="shared" si="1"/>
        <v>0</v>
      </c>
      <c r="J192" s="447"/>
    </row>
    <row r="193" spans="1:11" ht="15">
      <c r="A193" s="217"/>
      <c r="B193" s="218"/>
      <c r="C193" s="446"/>
      <c r="D193" s="218"/>
      <c r="E193" s="221"/>
      <c r="F193" s="448"/>
      <c r="G193" s="448"/>
      <c r="H193" s="222"/>
      <c r="I193" s="221">
        <f t="shared" si="1"/>
        <v>0</v>
      </c>
      <c r="J193" s="447"/>
    </row>
    <row r="194" spans="1:11" ht="15">
      <c r="A194" s="217"/>
      <c r="B194" s="218"/>
      <c r="C194" s="446"/>
      <c r="D194" s="218"/>
      <c r="E194" s="221"/>
      <c r="F194" s="448"/>
      <c r="G194" s="448"/>
      <c r="H194" s="222"/>
      <c r="I194" s="221">
        <f t="shared" si="1"/>
        <v>0</v>
      </c>
      <c r="J194" s="447"/>
    </row>
    <row r="195" spans="1:11" ht="15">
      <c r="A195" s="217"/>
      <c r="B195" s="218"/>
      <c r="C195" s="446"/>
      <c r="D195" s="218"/>
      <c r="E195" s="221"/>
      <c r="F195" s="448"/>
      <c r="G195" s="448"/>
      <c r="H195" s="222"/>
      <c r="I195" s="221">
        <f t="shared" si="1"/>
        <v>0</v>
      </c>
      <c r="J195" s="447"/>
    </row>
    <row r="196" spans="1:11" ht="15">
      <c r="A196" s="217"/>
      <c r="B196" s="218"/>
      <c r="C196" s="446"/>
      <c r="D196" s="218"/>
      <c r="E196" s="221"/>
      <c r="F196" s="448"/>
      <c r="G196" s="448"/>
      <c r="H196" s="222"/>
      <c r="I196" s="221">
        <f t="shared" si="1"/>
        <v>0</v>
      </c>
      <c r="J196" s="447"/>
    </row>
    <row r="197" spans="1:11" ht="15">
      <c r="A197" s="217"/>
      <c r="B197" s="218"/>
      <c r="C197" s="446"/>
      <c r="D197" s="218"/>
      <c r="E197" s="221"/>
      <c r="F197" s="448"/>
      <c r="G197" s="448"/>
      <c r="H197" s="222"/>
      <c r="I197" s="221">
        <f t="shared" si="1"/>
        <v>0</v>
      </c>
      <c r="J197" s="447"/>
    </row>
    <row r="198" spans="1:11" ht="15">
      <c r="A198" s="217"/>
      <c r="B198" s="218"/>
      <c r="C198" s="446"/>
      <c r="D198" s="218"/>
      <c r="E198" s="221"/>
      <c r="F198" s="448"/>
      <c r="G198" s="448"/>
      <c r="H198" s="222"/>
      <c r="I198" s="221">
        <f t="shared" si="1"/>
        <v>0</v>
      </c>
      <c r="J198" s="447"/>
    </row>
    <row r="199" spans="1:11" ht="15">
      <c r="A199" s="217"/>
      <c r="B199" s="218"/>
      <c r="C199" s="446"/>
      <c r="D199" s="218"/>
      <c r="E199" s="221"/>
      <c r="F199" s="448"/>
      <c r="G199" s="448"/>
      <c r="H199" s="222"/>
      <c r="I199" s="221">
        <f t="shared" si="1"/>
        <v>0</v>
      </c>
      <c r="J199" s="447"/>
    </row>
    <row r="200" spans="1:11" ht="15">
      <c r="A200" s="217"/>
      <c r="B200" s="218"/>
      <c r="C200" s="446"/>
      <c r="D200" s="218"/>
      <c r="E200" s="221"/>
      <c r="F200" s="448"/>
      <c r="G200" s="448"/>
      <c r="H200" s="222"/>
      <c r="I200" s="221">
        <f t="shared" si="1"/>
        <v>0</v>
      </c>
      <c r="J200" s="447"/>
    </row>
    <row r="201" spans="1:11" ht="15">
      <c r="A201" s="217"/>
      <c r="B201" s="218"/>
      <c r="C201" s="446"/>
      <c r="D201" s="218"/>
      <c r="E201" s="221"/>
      <c r="F201" s="448"/>
      <c r="G201" s="448"/>
      <c r="H201" s="222"/>
      <c r="I201" s="221">
        <f t="shared" si="1"/>
        <v>0</v>
      </c>
      <c r="J201" s="447"/>
    </row>
    <row r="202" spans="1:11" ht="15">
      <c r="A202" s="217"/>
      <c r="B202" s="218"/>
      <c r="C202" s="446"/>
      <c r="D202" s="218"/>
      <c r="E202" s="221"/>
      <c r="F202" s="448"/>
      <c r="G202" s="448"/>
      <c r="H202" s="222"/>
      <c r="I202" s="221">
        <f t="shared" si="1"/>
        <v>0</v>
      </c>
      <c r="J202" s="447"/>
    </row>
    <row r="203" spans="1:11" ht="15">
      <c r="A203" s="217"/>
      <c r="B203" s="218"/>
      <c r="C203" s="446"/>
      <c r="D203" s="218"/>
      <c r="E203" s="221"/>
      <c r="F203" s="448"/>
      <c r="G203" s="448"/>
      <c r="H203" s="222"/>
      <c r="I203" s="221">
        <f t="shared" si="1"/>
        <v>0</v>
      </c>
      <c r="J203" s="447"/>
    </row>
    <row r="204" spans="1:11">
      <c r="A204" s="217"/>
      <c r="B204" s="218"/>
      <c r="C204" s="446"/>
      <c r="D204" s="218"/>
      <c r="E204" s="221"/>
      <c r="F204" s="448"/>
      <c r="G204" s="448"/>
      <c r="H204" s="222"/>
      <c r="I204" s="221">
        <f t="shared" si="1"/>
        <v>0</v>
      </c>
      <c r="J204" s="218" t="s">
        <v>56</v>
      </c>
      <c r="K204" s="449">
        <f>SUM(E108:E207)</f>
        <v>0</v>
      </c>
    </row>
    <row r="205" spans="1:11">
      <c r="A205" s="217"/>
      <c r="B205" s="218"/>
      <c r="C205" s="446"/>
      <c r="D205" s="218"/>
      <c r="E205" s="221"/>
      <c r="F205" s="448"/>
      <c r="G205" s="448"/>
      <c r="H205" s="222"/>
      <c r="I205" s="221">
        <f t="shared" si="1"/>
        <v>0</v>
      </c>
      <c r="J205" s="218" t="s">
        <v>160</v>
      </c>
      <c r="K205" s="449">
        <f>SUM(F108:F207)</f>
        <v>0</v>
      </c>
    </row>
    <row r="206" spans="1:11">
      <c r="A206" s="217"/>
      <c r="B206" s="218"/>
      <c r="C206" s="446"/>
      <c r="D206" s="218"/>
      <c r="E206" s="221"/>
      <c r="F206" s="448"/>
      <c r="G206" s="448"/>
      <c r="H206" s="222"/>
      <c r="I206" s="221">
        <f t="shared" si="1"/>
        <v>0</v>
      </c>
      <c r="J206" s="218" t="s">
        <v>72</v>
      </c>
      <c r="K206" s="449">
        <f>SUM(G108:G207)</f>
        <v>0</v>
      </c>
    </row>
    <row r="207" spans="1:11">
      <c r="A207" s="217"/>
      <c r="B207" s="218"/>
      <c r="C207" s="446"/>
      <c r="D207" s="218"/>
      <c r="E207" s="221"/>
      <c r="F207" s="448"/>
      <c r="G207" s="448"/>
      <c r="H207" s="222"/>
      <c r="I207" s="221">
        <f t="shared" si="1"/>
        <v>0</v>
      </c>
      <c r="J207" s="218" t="s">
        <v>162</v>
      </c>
      <c r="K207" s="449">
        <f>SUM(H108:H207)</f>
        <v>0</v>
      </c>
    </row>
    <row r="208" spans="1:11">
      <c r="A208" s="218"/>
      <c r="B208" s="218"/>
      <c r="C208" s="218"/>
      <c r="D208" s="218"/>
      <c r="E208" s="218"/>
      <c r="F208" s="218"/>
      <c r="G208" s="218"/>
      <c r="H208" s="222"/>
      <c r="J208" s="452" t="s">
        <v>163</v>
      </c>
      <c r="K208" s="450">
        <f>SUM(K204:K207)</f>
        <v>0</v>
      </c>
    </row>
    <row r="209" spans="1:10" thickBot="1">
      <c r="A209" s="485" t="s">
        <v>21</v>
      </c>
      <c r="B209" s="486"/>
      <c r="C209" s="486"/>
      <c r="D209" s="486"/>
      <c r="E209" s="486"/>
      <c r="F209" s="486"/>
      <c r="G209" s="486"/>
      <c r="H209" s="486"/>
      <c r="I209" s="486"/>
      <c r="J209" s="486"/>
    </row>
    <row r="210" spans="1:10" ht="15">
      <c r="A210" s="217"/>
      <c r="B210" s="218"/>
      <c r="C210" s="446"/>
      <c r="D210" s="218"/>
      <c r="E210" s="221"/>
      <c r="F210" s="222"/>
      <c r="G210" s="221"/>
      <c r="H210" s="221"/>
      <c r="I210" s="221">
        <f t="shared" ref="I210:I309" si="2">SUM(E210:H210)</f>
        <v>0</v>
      </c>
      <c r="J210" s="447"/>
    </row>
    <row r="211" spans="1:10" ht="15">
      <c r="A211" s="217"/>
      <c r="B211" s="218"/>
      <c r="C211" s="446"/>
      <c r="D211" s="218"/>
      <c r="E211" s="222"/>
      <c r="F211" s="222"/>
      <c r="G211" s="221"/>
      <c r="H211" s="222"/>
      <c r="I211" s="221">
        <f t="shared" si="2"/>
        <v>0</v>
      </c>
      <c r="J211" s="447"/>
    </row>
    <row r="212" spans="1:10" ht="15">
      <c r="A212" s="217"/>
      <c r="B212" s="218"/>
      <c r="C212" s="446"/>
      <c r="D212" s="218"/>
      <c r="E212" s="221"/>
      <c r="F212" s="222"/>
      <c r="G212" s="221"/>
      <c r="H212" s="221"/>
      <c r="I212" s="221">
        <f t="shared" si="2"/>
        <v>0</v>
      </c>
      <c r="J212" s="447"/>
    </row>
    <row r="213" spans="1:10" ht="15">
      <c r="A213" s="217"/>
      <c r="B213" s="218"/>
      <c r="C213" s="446"/>
      <c r="D213" s="218"/>
      <c r="E213" s="221"/>
      <c r="F213" s="222"/>
      <c r="G213" s="221"/>
      <c r="H213" s="221"/>
      <c r="I213" s="221">
        <f t="shared" si="2"/>
        <v>0</v>
      </c>
      <c r="J213" s="447"/>
    </row>
    <row r="214" spans="1:10" ht="15">
      <c r="A214" s="217"/>
      <c r="B214" s="218"/>
      <c r="C214" s="446"/>
      <c r="D214" s="218"/>
      <c r="E214" s="222"/>
      <c r="F214" s="222"/>
      <c r="G214" s="221"/>
      <c r="H214" s="222"/>
      <c r="I214" s="221">
        <f t="shared" si="2"/>
        <v>0</v>
      </c>
      <c r="J214" s="447"/>
    </row>
    <row r="215" spans="1:10" ht="15">
      <c r="A215" s="217"/>
      <c r="B215" s="218"/>
      <c r="C215" s="446"/>
      <c r="D215" s="218"/>
      <c r="E215" s="221"/>
      <c r="F215" s="222"/>
      <c r="G215" s="221"/>
      <c r="H215" s="221"/>
      <c r="I215" s="221">
        <f t="shared" si="2"/>
        <v>0</v>
      </c>
      <c r="J215" s="447"/>
    </row>
    <row r="216" spans="1:10" ht="15">
      <c r="A216" s="217"/>
      <c r="B216" s="218"/>
      <c r="C216" s="446"/>
      <c r="D216" s="218"/>
      <c r="E216" s="221"/>
      <c r="F216" s="222"/>
      <c r="G216" s="221"/>
      <c r="H216" s="221"/>
      <c r="I216" s="221">
        <f t="shared" si="2"/>
        <v>0</v>
      </c>
      <c r="J216" s="447"/>
    </row>
    <row r="217" spans="1:10" ht="15">
      <c r="A217" s="217"/>
      <c r="B217" s="218"/>
      <c r="C217" s="446"/>
      <c r="D217" s="218"/>
      <c r="E217" s="221"/>
      <c r="F217" s="222"/>
      <c r="G217" s="221"/>
      <c r="H217" s="221"/>
      <c r="I217" s="221">
        <f t="shared" si="2"/>
        <v>0</v>
      </c>
      <c r="J217" s="447"/>
    </row>
    <row r="218" spans="1:10" ht="15">
      <c r="A218" s="217"/>
      <c r="B218" s="218"/>
      <c r="C218" s="446"/>
      <c r="D218" s="218"/>
      <c r="E218" s="222"/>
      <c r="F218" s="222"/>
      <c r="G218" s="221"/>
      <c r="H218" s="222"/>
      <c r="I218" s="221">
        <f t="shared" si="2"/>
        <v>0</v>
      </c>
      <c r="J218" s="447"/>
    </row>
    <row r="219" spans="1:10" ht="15">
      <c r="A219" s="217"/>
      <c r="B219" s="218"/>
      <c r="C219" s="446"/>
      <c r="D219" s="218"/>
      <c r="E219" s="222"/>
      <c r="F219" s="222"/>
      <c r="G219" s="221"/>
      <c r="H219" s="222"/>
      <c r="I219" s="221">
        <f t="shared" si="2"/>
        <v>0</v>
      </c>
      <c r="J219" s="447"/>
    </row>
    <row r="220" spans="1:10" ht="15">
      <c r="A220" s="217"/>
      <c r="B220" s="218"/>
      <c r="C220" s="446"/>
      <c r="D220" s="218"/>
      <c r="E220" s="221"/>
      <c r="F220" s="222"/>
      <c r="G220" s="221"/>
      <c r="H220" s="221"/>
      <c r="I220" s="221">
        <f t="shared" si="2"/>
        <v>0</v>
      </c>
      <c r="J220" s="447"/>
    </row>
    <row r="221" spans="1:10" ht="15">
      <c r="A221" s="217"/>
      <c r="B221" s="218"/>
      <c r="C221" s="446"/>
      <c r="D221" s="218"/>
      <c r="E221" s="221"/>
      <c r="F221" s="222"/>
      <c r="G221" s="221"/>
      <c r="H221" s="221"/>
      <c r="I221" s="221">
        <f t="shared" si="2"/>
        <v>0</v>
      </c>
      <c r="J221" s="447"/>
    </row>
    <row r="222" spans="1:10" ht="15">
      <c r="A222" s="217"/>
      <c r="B222" s="218"/>
      <c r="C222" s="446"/>
      <c r="D222" s="218"/>
      <c r="E222" s="221"/>
      <c r="F222" s="222"/>
      <c r="G222" s="221"/>
      <c r="H222" s="221"/>
      <c r="I222" s="221">
        <f t="shared" si="2"/>
        <v>0</v>
      </c>
      <c r="J222" s="447"/>
    </row>
    <row r="223" spans="1:10" ht="15">
      <c r="A223" s="217"/>
      <c r="B223" s="218"/>
      <c r="C223" s="446"/>
      <c r="D223" s="218"/>
      <c r="E223" s="222"/>
      <c r="F223" s="222"/>
      <c r="G223" s="221"/>
      <c r="H223" s="222"/>
      <c r="I223" s="221">
        <f t="shared" si="2"/>
        <v>0</v>
      </c>
      <c r="J223" s="447"/>
    </row>
    <row r="224" spans="1:10" ht="15">
      <c r="A224" s="217"/>
      <c r="B224" s="218"/>
      <c r="C224" s="446"/>
      <c r="D224" s="218"/>
      <c r="E224" s="222"/>
      <c r="F224" s="222"/>
      <c r="G224" s="221"/>
      <c r="H224" s="222"/>
      <c r="I224" s="221">
        <f t="shared" si="2"/>
        <v>0</v>
      </c>
      <c r="J224" s="447"/>
    </row>
    <row r="225" spans="1:10" ht="15">
      <c r="A225" s="217"/>
      <c r="B225" s="218"/>
      <c r="C225" s="446"/>
      <c r="D225" s="218"/>
      <c r="E225" s="222"/>
      <c r="F225" s="222"/>
      <c r="G225" s="221"/>
      <c r="H225" s="222"/>
      <c r="I225" s="221">
        <f t="shared" si="2"/>
        <v>0</v>
      </c>
      <c r="J225" s="447"/>
    </row>
    <row r="226" spans="1:10" ht="15">
      <c r="A226" s="217"/>
      <c r="B226" s="218"/>
      <c r="C226" s="446"/>
      <c r="D226" s="218"/>
      <c r="E226" s="222"/>
      <c r="F226" s="222"/>
      <c r="G226" s="221"/>
      <c r="H226" s="222"/>
      <c r="I226" s="221">
        <f t="shared" si="2"/>
        <v>0</v>
      </c>
      <c r="J226" s="447"/>
    </row>
    <row r="227" spans="1:10" ht="15">
      <c r="A227" s="217"/>
      <c r="B227" s="218"/>
      <c r="C227" s="446"/>
      <c r="D227" s="218"/>
      <c r="E227" s="222"/>
      <c r="F227" s="222"/>
      <c r="G227" s="221"/>
      <c r="H227" s="222"/>
      <c r="I227" s="221">
        <f t="shared" si="2"/>
        <v>0</v>
      </c>
      <c r="J227" s="447"/>
    </row>
    <row r="228" spans="1:10" ht="15">
      <c r="A228" s="217"/>
      <c r="B228" s="218"/>
      <c r="C228" s="446"/>
      <c r="D228" s="218"/>
      <c r="E228" s="222"/>
      <c r="F228" s="222"/>
      <c r="G228" s="221"/>
      <c r="H228" s="222"/>
      <c r="I228" s="221">
        <f t="shared" si="2"/>
        <v>0</v>
      </c>
      <c r="J228" s="447"/>
    </row>
    <row r="229" spans="1:10" ht="15">
      <c r="A229" s="217"/>
      <c r="B229" s="218"/>
      <c r="C229" s="446"/>
      <c r="D229" s="218"/>
      <c r="E229" s="222"/>
      <c r="F229" s="222"/>
      <c r="G229" s="221"/>
      <c r="H229" s="222"/>
      <c r="I229" s="221">
        <f t="shared" si="2"/>
        <v>0</v>
      </c>
      <c r="J229" s="447"/>
    </row>
    <row r="230" spans="1:10" ht="15">
      <c r="A230" s="217"/>
      <c r="B230" s="218"/>
      <c r="C230" s="446"/>
      <c r="D230" s="218"/>
      <c r="E230" s="221"/>
      <c r="F230" s="224"/>
      <c r="G230" s="224"/>
      <c r="H230" s="222"/>
      <c r="I230" s="221">
        <f t="shared" si="2"/>
        <v>0</v>
      </c>
      <c r="J230" s="447"/>
    </row>
    <row r="231" spans="1:10" ht="15">
      <c r="A231" s="217"/>
      <c r="B231" s="218"/>
      <c r="C231" s="446"/>
      <c r="D231" s="226"/>
      <c r="E231" s="221"/>
      <c r="F231" s="224"/>
      <c r="G231" s="224"/>
      <c r="H231" s="222"/>
      <c r="I231" s="221">
        <f t="shared" si="2"/>
        <v>0</v>
      </c>
      <c r="J231" s="447"/>
    </row>
    <row r="232" spans="1:10" ht="15">
      <c r="A232" s="217"/>
      <c r="B232" s="218"/>
      <c r="C232" s="446"/>
      <c r="D232" s="218"/>
      <c r="E232" s="221"/>
      <c r="F232" s="224"/>
      <c r="G232" s="224"/>
      <c r="H232" s="222"/>
      <c r="I232" s="221">
        <f t="shared" si="2"/>
        <v>0</v>
      </c>
      <c r="J232" s="447"/>
    </row>
    <row r="233" spans="1:10" ht="15">
      <c r="A233" s="217"/>
      <c r="B233" s="218"/>
      <c r="C233" s="446"/>
      <c r="D233" s="218"/>
      <c r="E233" s="221"/>
      <c r="F233" s="224"/>
      <c r="G233" s="224"/>
      <c r="H233" s="222"/>
      <c r="I233" s="221">
        <f t="shared" si="2"/>
        <v>0</v>
      </c>
      <c r="J233" s="447"/>
    </row>
    <row r="234" spans="1:10" ht="15">
      <c r="A234" s="217"/>
      <c r="B234" s="218"/>
      <c r="C234" s="446"/>
      <c r="D234" s="218"/>
      <c r="E234" s="221"/>
      <c r="F234" s="224"/>
      <c r="G234" s="224"/>
      <c r="H234" s="222"/>
      <c r="I234" s="221">
        <f t="shared" si="2"/>
        <v>0</v>
      </c>
      <c r="J234" s="447"/>
    </row>
    <row r="235" spans="1:10" ht="15">
      <c r="A235" s="217"/>
      <c r="B235" s="218"/>
      <c r="C235" s="446"/>
      <c r="D235" s="218"/>
      <c r="E235" s="221"/>
      <c r="F235" s="224"/>
      <c r="G235" s="224"/>
      <c r="H235" s="222"/>
      <c r="I235" s="221">
        <f t="shared" si="2"/>
        <v>0</v>
      </c>
      <c r="J235" s="447"/>
    </row>
    <row r="236" spans="1:10" ht="15">
      <c r="A236" s="217"/>
      <c r="B236" s="218"/>
      <c r="C236" s="446"/>
      <c r="D236" s="218"/>
      <c r="E236" s="221"/>
      <c r="F236" s="224"/>
      <c r="G236" s="224"/>
      <c r="H236" s="222"/>
      <c r="I236" s="221">
        <f t="shared" si="2"/>
        <v>0</v>
      </c>
      <c r="J236" s="447"/>
    </row>
    <row r="237" spans="1:10" ht="15">
      <c r="A237" s="217"/>
      <c r="B237" s="218"/>
      <c r="C237" s="446"/>
      <c r="D237" s="218"/>
      <c r="E237" s="221"/>
      <c r="F237" s="224"/>
      <c r="G237" s="224"/>
      <c r="H237" s="222"/>
      <c r="I237" s="221">
        <f t="shared" si="2"/>
        <v>0</v>
      </c>
      <c r="J237" s="447"/>
    </row>
    <row r="238" spans="1:10" ht="15">
      <c r="A238" s="217"/>
      <c r="B238" s="218"/>
      <c r="C238" s="446"/>
      <c r="D238" s="218"/>
      <c r="E238" s="221"/>
      <c r="F238" s="224"/>
      <c r="G238" s="224"/>
      <c r="H238" s="222"/>
      <c r="I238" s="221">
        <f t="shared" si="2"/>
        <v>0</v>
      </c>
      <c r="J238" s="447"/>
    </row>
    <row r="239" spans="1:10" ht="15">
      <c r="A239" s="217"/>
      <c r="B239" s="218"/>
      <c r="C239" s="446"/>
      <c r="D239" s="218"/>
      <c r="E239" s="221"/>
      <c r="F239" s="224"/>
      <c r="G239" s="224"/>
      <c r="H239" s="222"/>
      <c r="I239" s="221">
        <f t="shared" si="2"/>
        <v>0</v>
      </c>
      <c r="J239" s="447"/>
    </row>
    <row r="240" spans="1:10" ht="15">
      <c r="A240" s="217"/>
      <c r="B240" s="218"/>
      <c r="C240" s="446"/>
      <c r="D240" s="218"/>
      <c r="E240" s="221"/>
      <c r="F240" s="224"/>
      <c r="G240" s="224"/>
      <c r="H240" s="222"/>
      <c r="I240" s="221">
        <f t="shared" si="2"/>
        <v>0</v>
      </c>
      <c r="J240" s="447"/>
    </row>
    <row r="241" spans="1:10" ht="15">
      <c r="A241" s="217"/>
      <c r="B241" s="218"/>
      <c r="C241" s="446"/>
      <c r="D241" s="218"/>
      <c r="E241" s="221"/>
      <c r="F241" s="224"/>
      <c r="G241" s="224"/>
      <c r="H241" s="222"/>
      <c r="I241" s="221">
        <f t="shared" si="2"/>
        <v>0</v>
      </c>
      <c r="J241" s="447"/>
    </row>
    <row r="242" spans="1:10" ht="15">
      <c r="A242" s="217"/>
      <c r="B242" s="218"/>
      <c r="C242" s="446"/>
      <c r="D242" s="218"/>
      <c r="E242" s="221"/>
      <c r="F242" s="224"/>
      <c r="G242" s="224"/>
      <c r="H242" s="222"/>
      <c r="I242" s="221">
        <f t="shared" si="2"/>
        <v>0</v>
      </c>
      <c r="J242" s="447"/>
    </row>
    <row r="243" spans="1:10" ht="15">
      <c r="A243" s="217"/>
      <c r="B243" s="218"/>
      <c r="C243" s="446"/>
      <c r="D243" s="218"/>
      <c r="E243" s="221"/>
      <c r="F243" s="224"/>
      <c r="G243" s="224"/>
      <c r="H243" s="222"/>
      <c r="I243" s="221">
        <f t="shared" si="2"/>
        <v>0</v>
      </c>
      <c r="J243" s="447"/>
    </row>
    <row r="244" spans="1:10" ht="15">
      <c r="A244" s="217"/>
      <c r="B244" s="218"/>
      <c r="C244" s="446"/>
      <c r="D244" s="218"/>
      <c r="E244" s="221"/>
      <c r="F244" s="224"/>
      <c r="G244" s="224"/>
      <c r="H244" s="222"/>
      <c r="I244" s="221">
        <f t="shared" si="2"/>
        <v>0</v>
      </c>
      <c r="J244" s="447"/>
    </row>
    <row r="245" spans="1:10" ht="15">
      <c r="A245" s="217"/>
      <c r="B245" s="218"/>
      <c r="C245" s="446"/>
      <c r="D245" s="218"/>
      <c r="E245" s="221"/>
      <c r="F245" s="224"/>
      <c r="G245" s="224"/>
      <c r="H245" s="222"/>
      <c r="I245" s="221">
        <f t="shared" si="2"/>
        <v>0</v>
      </c>
      <c r="J245" s="447"/>
    </row>
    <row r="246" spans="1:10" ht="15">
      <c r="A246" s="217"/>
      <c r="B246" s="218"/>
      <c r="C246" s="446"/>
      <c r="D246" s="218"/>
      <c r="E246" s="221"/>
      <c r="F246" s="224"/>
      <c r="G246" s="224"/>
      <c r="H246" s="222"/>
      <c r="I246" s="221">
        <f t="shared" si="2"/>
        <v>0</v>
      </c>
      <c r="J246" s="447"/>
    </row>
    <row r="247" spans="1:10" ht="15">
      <c r="A247" s="217"/>
      <c r="B247" s="218"/>
      <c r="C247" s="446"/>
      <c r="D247" s="218"/>
      <c r="E247" s="221"/>
      <c r="F247" s="224"/>
      <c r="G247" s="224"/>
      <c r="H247" s="222"/>
      <c r="I247" s="221">
        <f t="shared" si="2"/>
        <v>0</v>
      </c>
      <c r="J247" s="447"/>
    </row>
    <row r="248" spans="1:10" ht="15">
      <c r="A248" s="217"/>
      <c r="B248" s="218"/>
      <c r="C248" s="446"/>
      <c r="D248" s="226"/>
      <c r="E248" s="221"/>
      <c r="F248" s="224"/>
      <c r="G248" s="224"/>
      <c r="H248" s="222"/>
      <c r="I248" s="221">
        <f t="shared" si="2"/>
        <v>0</v>
      </c>
      <c r="J248" s="447"/>
    </row>
    <row r="249" spans="1:10" ht="15">
      <c r="A249" s="217"/>
      <c r="B249" s="218"/>
      <c r="C249" s="446"/>
      <c r="D249" s="218"/>
      <c r="E249" s="221"/>
      <c r="F249" s="224"/>
      <c r="G249" s="224"/>
      <c r="H249" s="222"/>
      <c r="I249" s="221">
        <f t="shared" si="2"/>
        <v>0</v>
      </c>
      <c r="J249" s="447"/>
    </row>
    <row r="250" spans="1:10" ht="15">
      <c r="A250" s="217"/>
      <c r="B250" s="218"/>
      <c r="C250" s="446"/>
      <c r="D250" s="218"/>
      <c r="E250" s="221"/>
      <c r="F250" s="224"/>
      <c r="G250" s="224"/>
      <c r="H250" s="222"/>
      <c r="I250" s="221">
        <f t="shared" si="2"/>
        <v>0</v>
      </c>
      <c r="J250" s="447"/>
    </row>
    <row r="251" spans="1:10" ht="15">
      <c r="A251" s="217"/>
      <c r="B251" s="218"/>
      <c r="C251" s="446"/>
      <c r="D251" s="218"/>
      <c r="E251" s="221"/>
      <c r="F251" s="224"/>
      <c r="G251" s="224"/>
      <c r="H251" s="222"/>
      <c r="I251" s="221">
        <f t="shared" si="2"/>
        <v>0</v>
      </c>
      <c r="J251" s="447"/>
    </row>
    <row r="252" spans="1:10" ht="15">
      <c r="A252" s="217"/>
      <c r="B252" s="218"/>
      <c r="C252" s="446"/>
      <c r="D252" s="218"/>
      <c r="E252" s="221"/>
      <c r="F252" s="224"/>
      <c r="G252" s="224"/>
      <c r="H252" s="222"/>
      <c r="I252" s="221">
        <f t="shared" si="2"/>
        <v>0</v>
      </c>
      <c r="J252" s="447"/>
    </row>
    <row r="253" spans="1:10" ht="15">
      <c r="A253" s="217"/>
      <c r="B253" s="218"/>
      <c r="C253" s="446"/>
      <c r="D253" s="218"/>
      <c r="E253" s="221"/>
      <c r="F253" s="224"/>
      <c r="G253" s="224"/>
      <c r="H253" s="222"/>
      <c r="I253" s="221">
        <f t="shared" si="2"/>
        <v>0</v>
      </c>
      <c r="J253" s="447"/>
    </row>
    <row r="254" spans="1:10" ht="15">
      <c r="A254" s="217"/>
      <c r="B254" s="218"/>
      <c r="C254" s="446"/>
      <c r="D254" s="218"/>
      <c r="E254" s="221"/>
      <c r="F254" s="224"/>
      <c r="G254" s="224"/>
      <c r="H254" s="222"/>
      <c r="I254" s="221">
        <f t="shared" si="2"/>
        <v>0</v>
      </c>
      <c r="J254" s="447"/>
    </row>
    <row r="255" spans="1:10" ht="15">
      <c r="A255" s="217"/>
      <c r="B255" s="218"/>
      <c r="C255" s="446"/>
      <c r="D255" s="218"/>
      <c r="E255" s="221"/>
      <c r="F255" s="224"/>
      <c r="G255" s="224"/>
      <c r="H255" s="222"/>
      <c r="I255" s="221">
        <f t="shared" si="2"/>
        <v>0</v>
      </c>
      <c r="J255" s="447"/>
    </row>
    <row r="256" spans="1:10" ht="15">
      <c r="A256" s="217"/>
      <c r="B256" s="218"/>
      <c r="C256" s="446"/>
      <c r="D256" s="218"/>
      <c r="E256" s="221"/>
      <c r="F256" s="448"/>
      <c r="G256" s="448"/>
      <c r="H256" s="222"/>
      <c r="I256" s="221">
        <f t="shared" si="2"/>
        <v>0</v>
      </c>
      <c r="J256" s="447"/>
    </row>
    <row r="257" spans="1:10" ht="15">
      <c r="A257" s="217"/>
      <c r="B257" s="218"/>
      <c r="C257" s="446"/>
      <c r="D257" s="218"/>
      <c r="E257" s="221"/>
      <c r="F257" s="448"/>
      <c r="G257" s="448"/>
      <c r="H257" s="222"/>
      <c r="I257" s="221">
        <f t="shared" si="2"/>
        <v>0</v>
      </c>
      <c r="J257" s="447"/>
    </row>
    <row r="258" spans="1:10" ht="15">
      <c r="A258" s="217"/>
      <c r="B258" s="218"/>
      <c r="C258" s="446"/>
      <c r="D258" s="218"/>
      <c r="E258" s="221"/>
      <c r="F258" s="448"/>
      <c r="G258" s="448"/>
      <c r="H258" s="222"/>
      <c r="I258" s="221">
        <f t="shared" si="2"/>
        <v>0</v>
      </c>
      <c r="J258" s="447"/>
    </row>
    <row r="259" spans="1:10" ht="15">
      <c r="A259" s="217"/>
      <c r="B259" s="218"/>
      <c r="C259" s="446"/>
      <c r="D259" s="218"/>
      <c r="E259" s="221"/>
      <c r="F259" s="448"/>
      <c r="G259" s="448"/>
      <c r="H259" s="222"/>
      <c r="I259" s="221">
        <f t="shared" si="2"/>
        <v>0</v>
      </c>
      <c r="J259" s="447"/>
    </row>
    <row r="260" spans="1:10" ht="15">
      <c r="A260" s="217"/>
      <c r="B260" s="218"/>
      <c r="C260" s="446"/>
      <c r="D260" s="218"/>
      <c r="E260" s="221"/>
      <c r="F260" s="448"/>
      <c r="G260" s="448"/>
      <c r="H260" s="222"/>
      <c r="I260" s="221">
        <f t="shared" si="2"/>
        <v>0</v>
      </c>
      <c r="J260" s="447"/>
    </row>
    <row r="261" spans="1:10" ht="15">
      <c r="A261" s="217"/>
      <c r="B261" s="218"/>
      <c r="C261" s="446"/>
      <c r="D261" s="218"/>
      <c r="E261" s="221"/>
      <c r="F261" s="448"/>
      <c r="G261" s="448"/>
      <c r="H261" s="222"/>
      <c r="I261" s="221">
        <f t="shared" si="2"/>
        <v>0</v>
      </c>
      <c r="J261" s="447"/>
    </row>
    <row r="262" spans="1:10" ht="15">
      <c r="A262" s="217"/>
      <c r="B262" s="218"/>
      <c r="C262" s="446"/>
      <c r="D262" s="218"/>
      <c r="E262" s="221"/>
      <c r="F262" s="448"/>
      <c r="G262" s="448"/>
      <c r="H262" s="222"/>
      <c r="I262" s="221">
        <f t="shared" si="2"/>
        <v>0</v>
      </c>
      <c r="J262" s="447"/>
    </row>
    <row r="263" spans="1:10" ht="15">
      <c r="A263" s="217"/>
      <c r="B263" s="218"/>
      <c r="C263" s="446"/>
      <c r="D263" s="218"/>
      <c r="E263" s="221"/>
      <c r="F263" s="448"/>
      <c r="G263" s="448"/>
      <c r="H263" s="222"/>
      <c r="I263" s="221">
        <f t="shared" si="2"/>
        <v>0</v>
      </c>
      <c r="J263" s="447"/>
    </row>
    <row r="264" spans="1:10" ht="15">
      <c r="A264" s="217"/>
      <c r="B264" s="218"/>
      <c r="C264" s="446"/>
      <c r="D264" s="218"/>
      <c r="E264" s="221"/>
      <c r="F264" s="448"/>
      <c r="G264" s="448"/>
      <c r="H264" s="222"/>
      <c r="I264" s="221">
        <f t="shared" si="2"/>
        <v>0</v>
      </c>
      <c r="J264" s="447"/>
    </row>
    <row r="265" spans="1:10" ht="15">
      <c r="A265" s="217"/>
      <c r="B265" s="218"/>
      <c r="C265" s="446"/>
      <c r="D265" s="218"/>
      <c r="E265" s="221"/>
      <c r="F265" s="448"/>
      <c r="G265" s="448"/>
      <c r="H265" s="222"/>
      <c r="I265" s="221">
        <f t="shared" si="2"/>
        <v>0</v>
      </c>
      <c r="J265" s="447"/>
    </row>
    <row r="266" spans="1:10" ht="15">
      <c r="A266" s="217"/>
      <c r="B266" s="218"/>
      <c r="C266" s="446"/>
      <c r="D266" s="218"/>
      <c r="E266" s="221"/>
      <c r="F266" s="448"/>
      <c r="G266" s="448"/>
      <c r="H266" s="222"/>
      <c r="I266" s="221">
        <f t="shared" si="2"/>
        <v>0</v>
      </c>
      <c r="J266" s="447"/>
    </row>
    <row r="267" spans="1:10" ht="15">
      <c r="A267" s="217"/>
      <c r="B267" s="218"/>
      <c r="C267" s="446"/>
      <c r="D267" s="218"/>
      <c r="E267" s="221"/>
      <c r="F267" s="448"/>
      <c r="G267" s="448"/>
      <c r="H267" s="222"/>
      <c r="I267" s="221">
        <f t="shared" si="2"/>
        <v>0</v>
      </c>
      <c r="J267" s="447"/>
    </row>
    <row r="268" spans="1:10" ht="15">
      <c r="A268" s="217"/>
      <c r="B268" s="218"/>
      <c r="C268" s="446"/>
      <c r="D268" s="218"/>
      <c r="E268" s="221"/>
      <c r="F268" s="448"/>
      <c r="G268" s="448"/>
      <c r="H268" s="222"/>
      <c r="I268" s="221">
        <f t="shared" si="2"/>
        <v>0</v>
      </c>
      <c r="J268" s="447"/>
    </row>
    <row r="269" spans="1:10" ht="15">
      <c r="A269" s="217"/>
      <c r="B269" s="218"/>
      <c r="C269" s="446"/>
      <c r="D269" s="218"/>
      <c r="E269" s="221"/>
      <c r="F269" s="448"/>
      <c r="G269" s="448"/>
      <c r="H269" s="222"/>
      <c r="I269" s="221">
        <f t="shared" si="2"/>
        <v>0</v>
      </c>
      <c r="J269" s="447"/>
    </row>
    <row r="270" spans="1:10" ht="15">
      <c r="A270" s="217"/>
      <c r="B270" s="218"/>
      <c r="C270" s="446"/>
      <c r="D270" s="218"/>
      <c r="E270" s="221"/>
      <c r="F270" s="448"/>
      <c r="G270" s="448"/>
      <c r="H270" s="222"/>
      <c r="I270" s="221">
        <f t="shared" si="2"/>
        <v>0</v>
      </c>
      <c r="J270" s="447"/>
    </row>
    <row r="271" spans="1:10" ht="15">
      <c r="A271" s="217"/>
      <c r="B271" s="218"/>
      <c r="C271" s="446"/>
      <c r="D271" s="218"/>
      <c r="E271" s="221"/>
      <c r="F271" s="448"/>
      <c r="G271" s="448"/>
      <c r="H271" s="222"/>
      <c r="I271" s="221">
        <f t="shared" si="2"/>
        <v>0</v>
      </c>
      <c r="J271" s="447"/>
    </row>
    <row r="272" spans="1:10" ht="15">
      <c r="A272" s="217"/>
      <c r="B272" s="218"/>
      <c r="C272" s="446"/>
      <c r="D272" s="218"/>
      <c r="E272" s="221"/>
      <c r="F272" s="448"/>
      <c r="G272" s="448"/>
      <c r="H272" s="222"/>
      <c r="I272" s="221">
        <f t="shared" si="2"/>
        <v>0</v>
      </c>
      <c r="J272" s="447"/>
    </row>
    <row r="273" spans="1:10" ht="15">
      <c r="A273" s="217"/>
      <c r="B273" s="218"/>
      <c r="C273" s="446"/>
      <c r="D273" s="218"/>
      <c r="E273" s="221"/>
      <c r="F273" s="448"/>
      <c r="G273" s="448"/>
      <c r="H273" s="222"/>
      <c r="I273" s="221">
        <f t="shared" si="2"/>
        <v>0</v>
      </c>
      <c r="J273" s="447"/>
    </row>
    <row r="274" spans="1:10" ht="15">
      <c r="A274" s="217"/>
      <c r="B274" s="218"/>
      <c r="C274" s="446"/>
      <c r="D274" s="218"/>
      <c r="E274" s="221"/>
      <c r="F274" s="448"/>
      <c r="G274" s="448"/>
      <c r="H274" s="222"/>
      <c r="I274" s="221">
        <f t="shared" si="2"/>
        <v>0</v>
      </c>
      <c r="J274" s="447"/>
    </row>
    <row r="275" spans="1:10" ht="15">
      <c r="A275" s="217"/>
      <c r="B275" s="218"/>
      <c r="C275" s="446"/>
      <c r="D275" s="218"/>
      <c r="E275" s="221"/>
      <c r="F275" s="448"/>
      <c r="G275" s="448"/>
      <c r="H275" s="222"/>
      <c r="I275" s="221">
        <f t="shared" si="2"/>
        <v>0</v>
      </c>
      <c r="J275" s="447"/>
    </row>
    <row r="276" spans="1:10" ht="15">
      <c r="A276" s="217"/>
      <c r="B276" s="218"/>
      <c r="C276" s="446"/>
      <c r="D276" s="218"/>
      <c r="E276" s="221"/>
      <c r="F276" s="448"/>
      <c r="G276" s="448"/>
      <c r="H276" s="222"/>
      <c r="I276" s="221">
        <f t="shared" si="2"/>
        <v>0</v>
      </c>
      <c r="J276" s="447"/>
    </row>
    <row r="277" spans="1:10" ht="15">
      <c r="A277" s="217"/>
      <c r="B277" s="218"/>
      <c r="C277" s="446"/>
      <c r="D277" s="218"/>
      <c r="E277" s="221"/>
      <c r="F277" s="448"/>
      <c r="G277" s="448"/>
      <c r="H277" s="222"/>
      <c r="I277" s="221">
        <f t="shared" si="2"/>
        <v>0</v>
      </c>
      <c r="J277" s="447"/>
    </row>
    <row r="278" spans="1:10" ht="15">
      <c r="A278" s="217"/>
      <c r="B278" s="218"/>
      <c r="C278" s="446"/>
      <c r="D278" s="218"/>
      <c r="E278" s="221"/>
      <c r="F278" s="448"/>
      <c r="G278" s="448"/>
      <c r="H278" s="222"/>
      <c r="I278" s="221">
        <f t="shared" si="2"/>
        <v>0</v>
      </c>
      <c r="J278" s="447"/>
    </row>
    <row r="279" spans="1:10" ht="15">
      <c r="A279" s="217"/>
      <c r="B279" s="218"/>
      <c r="C279" s="446"/>
      <c r="D279" s="218"/>
      <c r="E279" s="221"/>
      <c r="F279" s="448"/>
      <c r="G279" s="448"/>
      <c r="H279" s="222"/>
      <c r="I279" s="221">
        <f t="shared" si="2"/>
        <v>0</v>
      </c>
      <c r="J279" s="447"/>
    </row>
    <row r="280" spans="1:10" ht="15">
      <c r="A280" s="217"/>
      <c r="B280" s="218"/>
      <c r="C280" s="446"/>
      <c r="D280" s="218"/>
      <c r="E280" s="221"/>
      <c r="F280" s="448"/>
      <c r="G280" s="448"/>
      <c r="H280" s="222"/>
      <c r="I280" s="221">
        <f t="shared" si="2"/>
        <v>0</v>
      </c>
      <c r="J280" s="447"/>
    </row>
    <row r="281" spans="1:10" ht="15">
      <c r="A281" s="217"/>
      <c r="B281" s="218"/>
      <c r="C281" s="446"/>
      <c r="D281" s="218"/>
      <c r="E281" s="221"/>
      <c r="F281" s="448"/>
      <c r="G281" s="448"/>
      <c r="H281" s="222"/>
      <c r="I281" s="221">
        <f t="shared" si="2"/>
        <v>0</v>
      </c>
      <c r="J281" s="447"/>
    </row>
    <row r="282" spans="1:10" ht="15">
      <c r="A282" s="217"/>
      <c r="B282" s="218"/>
      <c r="C282" s="446"/>
      <c r="D282" s="218"/>
      <c r="E282" s="221"/>
      <c r="F282" s="448"/>
      <c r="G282" s="448"/>
      <c r="H282" s="222"/>
      <c r="I282" s="221">
        <f t="shared" si="2"/>
        <v>0</v>
      </c>
      <c r="J282" s="447"/>
    </row>
    <row r="283" spans="1:10" ht="15">
      <c r="A283" s="217"/>
      <c r="B283" s="218"/>
      <c r="C283" s="446"/>
      <c r="D283" s="218"/>
      <c r="E283" s="221"/>
      <c r="F283" s="448"/>
      <c r="G283" s="448"/>
      <c r="H283" s="222"/>
      <c r="I283" s="221">
        <f t="shared" si="2"/>
        <v>0</v>
      </c>
      <c r="J283" s="447"/>
    </row>
    <row r="284" spans="1:10" ht="15">
      <c r="A284" s="217"/>
      <c r="B284" s="218"/>
      <c r="C284" s="446"/>
      <c r="D284" s="218"/>
      <c r="E284" s="221"/>
      <c r="F284" s="448"/>
      <c r="G284" s="448"/>
      <c r="H284" s="222"/>
      <c r="I284" s="221">
        <f t="shared" si="2"/>
        <v>0</v>
      </c>
      <c r="J284" s="447"/>
    </row>
    <row r="285" spans="1:10" ht="15">
      <c r="A285" s="217"/>
      <c r="B285" s="218"/>
      <c r="C285" s="446"/>
      <c r="D285" s="218"/>
      <c r="E285" s="221"/>
      <c r="F285" s="448"/>
      <c r="G285" s="448"/>
      <c r="H285" s="222"/>
      <c r="I285" s="221">
        <f t="shared" si="2"/>
        <v>0</v>
      </c>
      <c r="J285" s="447"/>
    </row>
    <row r="286" spans="1:10" ht="15">
      <c r="A286" s="217"/>
      <c r="B286" s="218"/>
      <c r="C286" s="446"/>
      <c r="D286" s="218"/>
      <c r="E286" s="221"/>
      <c r="F286" s="448"/>
      <c r="G286" s="448"/>
      <c r="H286" s="222"/>
      <c r="I286" s="221">
        <f t="shared" si="2"/>
        <v>0</v>
      </c>
      <c r="J286" s="447"/>
    </row>
    <row r="287" spans="1:10" ht="15">
      <c r="A287" s="217"/>
      <c r="B287" s="218"/>
      <c r="C287" s="446"/>
      <c r="D287" s="218"/>
      <c r="E287" s="221"/>
      <c r="F287" s="448"/>
      <c r="G287" s="448"/>
      <c r="H287" s="222"/>
      <c r="I287" s="221">
        <f t="shared" si="2"/>
        <v>0</v>
      </c>
      <c r="J287" s="447"/>
    </row>
    <row r="288" spans="1:10" ht="15">
      <c r="A288" s="217"/>
      <c r="B288" s="218"/>
      <c r="C288" s="446"/>
      <c r="D288" s="218"/>
      <c r="E288" s="221"/>
      <c r="F288" s="448"/>
      <c r="G288" s="448"/>
      <c r="H288" s="222"/>
      <c r="I288" s="221">
        <f t="shared" si="2"/>
        <v>0</v>
      </c>
      <c r="J288" s="447"/>
    </row>
    <row r="289" spans="1:10" ht="15">
      <c r="A289" s="217"/>
      <c r="B289" s="218"/>
      <c r="C289" s="446"/>
      <c r="D289" s="218"/>
      <c r="E289" s="221"/>
      <c r="F289" s="448"/>
      <c r="G289" s="448"/>
      <c r="H289" s="222"/>
      <c r="I289" s="221">
        <f t="shared" si="2"/>
        <v>0</v>
      </c>
      <c r="J289" s="447"/>
    </row>
    <row r="290" spans="1:10" ht="15">
      <c r="A290" s="217"/>
      <c r="B290" s="218"/>
      <c r="C290" s="446"/>
      <c r="D290" s="218"/>
      <c r="E290" s="221"/>
      <c r="F290" s="448"/>
      <c r="G290" s="448"/>
      <c r="H290" s="222"/>
      <c r="I290" s="221">
        <f t="shared" si="2"/>
        <v>0</v>
      </c>
      <c r="J290" s="447"/>
    </row>
    <row r="291" spans="1:10" ht="15">
      <c r="A291" s="217"/>
      <c r="B291" s="218"/>
      <c r="C291" s="446"/>
      <c r="D291" s="218"/>
      <c r="E291" s="221"/>
      <c r="F291" s="448"/>
      <c r="G291" s="448"/>
      <c r="H291" s="222"/>
      <c r="I291" s="221">
        <f t="shared" si="2"/>
        <v>0</v>
      </c>
      <c r="J291" s="447"/>
    </row>
    <row r="292" spans="1:10" ht="15">
      <c r="A292" s="217"/>
      <c r="B292" s="218"/>
      <c r="C292" s="446"/>
      <c r="D292" s="218"/>
      <c r="E292" s="221"/>
      <c r="F292" s="448"/>
      <c r="G292" s="448"/>
      <c r="H292" s="222"/>
      <c r="I292" s="221">
        <f t="shared" si="2"/>
        <v>0</v>
      </c>
      <c r="J292" s="447"/>
    </row>
    <row r="293" spans="1:10" ht="15">
      <c r="A293" s="217"/>
      <c r="B293" s="218"/>
      <c r="C293" s="446"/>
      <c r="D293" s="218"/>
      <c r="E293" s="221"/>
      <c r="F293" s="448"/>
      <c r="G293" s="448"/>
      <c r="H293" s="222"/>
      <c r="I293" s="221">
        <f t="shared" si="2"/>
        <v>0</v>
      </c>
      <c r="J293" s="447"/>
    </row>
    <row r="294" spans="1:10" ht="15">
      <c r="A294" s="217"/>
      <c r="B294" s="218"/>
      <c r="C294" s="446"/>
      <c r="D294" s="218"/>
      <c r="E294" s="221"/>
      <c r="F294" s="448"/>
      <c r="G294" s="448"/>
      <c r="H294" s="222"/>
      <c r="I294" s="221">
        <f t="shared" si="2"/>
        <v>0</v>
      </c>
      <c r="J294" s="447"/>
    </row>
    <row r="295" spans="1:10" ht="15">
      <c r="A295" s="217"/>
      <c r="B295" s="218"/>
      <c r="C295" s="446"/>
      <c r="D295" s="218"/>
      <c r="E295" s="221"/>
      <c r="F295" s="448"/>
      <c r="G295" s="448"/>
      <c r="H295" s="222"/>
      <c r="I295" s="221">
        <f t="shared" si="2"/>
        <v>0</v>
      </c>
      <c r="J295" s="447"/>
    </row>
    <row r="296" spans="1:10" ht="15">
      <c r="A296" s="217"/>
      <c r="B296" s="218"/>
      <c r="C296" s="446"/>
      <c r="D296" s="218"/>
      <c r="E296" s="221"/>
      <c r="F296" s="448"/>
      <c r="G296" s="448"/>
      <c r="H296" s="222"/>
      <c r="I296" s="221">
        <f t="shared" si="2"/>
        <v>0</v>
      </c>
      <c r="J296" s="447"/>
    </row>
    <row r="297" spans="1:10" ht="15">
      <c r="A297" s="217"/>
      <c r="B297" s="218"/>
      <c r="C297" s="446"/>
      <c r="D297" s="218"/>
      <c r="E297" s="221"/>
      <c r="F297" s="448"/>
      <c r="G297" s="448"/>
      <c r="H297" s="222"/>
      <c r="I297" s="221">
        <f t="shared" si="2"/>
        <v>0</v>
      </c>
      <c r="J297" s="447"/>
    </row>
    <row r="298" spans="1:10" ht="15">
      <c r="A298" s="217"/>
      <c r="B298" s="218"/>
      <c r="C298" s="446"/>
      <c r="D298" s="218"/>
      <c r="E298" s="221"/>
      <c r="F298" s="448"/>
      <c r="G298" s="448"/>
      <c r="H298" s="222"/>
      <c r="I298" s="221">
        <f t="shared" si="2"/>
        <v>0</v>
      </c>
      <c r="J298" s="447"/>
    </row>
    <row r="299" spans="1:10" ht="15">
      <c r="A299" s="217"/>
      <c r="B299" s="218"/>
      <c r="C299" s="446"/>
      <c r="D299" s="218"/>
      <c r="E299" s="221"/>
      <c r="F299" s="448"/>
      <c r="G299" s="448"/>
      <c r="H299" s="222"/>
      <c r="I299" s="221">
        <f t="shared" si="2"/>
        <v>0</v>
      </c>
      <c r="J299" s="447"/>
    </row>
    <row r="300" spans="1:10" ht="15">
      <c r="A300" s="217"/>
      <c r="B300" s="218"/>
      <c r="C300" s="446"/>
      <c r="D300" s="218"/>
      <c r="E300" s="221"/>
      <c r="F300" s="448"/>
      <c r="G300" s="448"/>
      <c r="H300" s="222"/>
      <c r="I300" s="221">
        <f t="shared" si="2"/>
        <v>0</v>
      </c>
      <c r="J300" s="447"/>
    </row>
    <row r="301" spans="1:10" ht="15">
      <c r="A301" s="217"/>
      <c r="B301" s="218"/>
      <c r="C301" s="446"/>
      <c r="D301" s="218"/>
      <c r="E301" s="221"/>
      <c r="F301" s="448"/>
      <c r="G301" s="448"/>
      <c r="H301" s="222"/>
      <c r="I301" s="221">
        <f t="shared" si="2"/>
        <v>0</v>
      </c>
      <c r="J301" s="447"/>
    </row>
    <row r="302" spans="1:10" ht="15">
      <c r="A302" s="217"/>
      <c r="B302" s="218"/>
      <c r="C302" s="446"/>
      <c r="D302" s="218"/>
      <c r="E302" s="221"/>
      <c r="F302" s="448"/>
      <c r="G302" s="448"/>
      <c r="H302" s="222"/>
      <c r="I302" s="221">
        <f t="shared" si="2"/>
        <v>0</v>
      </c>
      <c r="J302" s="447"/>
    </row>
    <row r="303" spans="1:10" ht="15">
      <c r="A303" s="217"/>
      <c r="B303" s="218"/>
      <c r="C303" s="446"/>
      <c r="D303" s="218"/>
      <c r="E303" s="221"/>
      <c r="F303" s="448"/>
      <c r="G303" s="448"/>
      <c r="H303" s="222"/>
      <c r="I303" s="221">
        <f t="shared" si="2"/>
        <v>0</v>
      </c>
      <c r="J303" s="447"/>
    </row>
    <row r="304" spans="1:10" ht="15">
      <c r="A304" s="217"/>
      <c r="B304" s="218"/>
      <c r="C304" s="446"/>
      <c r="D304" s="218"/>
      <c r="E304" s="221"/>
      <c r="F304" s="448"/>
      <c r="G304" s="448"/>
      <c r="H304" s="222"/>
      <c r="I304" s="221">
        <f t="shared" si="2"/>
        <v>0</v>
      </c>
      <c r="J304" s="447"/>
    </row>
    <row r="305" spans="1:11" ht="15">
      <c r="A305" s="217"/>
      <c r="B305" s="218"/>
      <c r="C305" s="446"/>
      <c r="D305" s="218"/>
      <c r="E305" s="221"/>
      <c r="F305" s="448"/>
      <c r="G305" s="448"/>
      <c r="H305" s="222"/>
      <c r="I305" s="221">
        <f t="shared" si="2"/>
        <v>0</v>
      </c>
      <c r="J305" s="447"/>
    </row>
    <row r="306" spans="1:11">
      <c r="A306" s="217"/>
      <c r="B306" s="218"/>
      <c r="C306" s="446"/>
      <c r="D306" s="218"/>
      <c r="E306" s="221"/>
      <c r="F306" s="448"/>
      <c r="G306" s="448"/>
      <c r="H306" s="222"/>
      <c r="I306" s="221">
        <f t="shared" si="2"/>
        <v>0</v>
      </c>
      <c r="J306" s="218" t="s">
        <v>56</v>
      </c>
      <c r="K306" s="449">
        <f>SUM(E210:E309)</f>
        <v>0</v>
      </c>
    </row>
    <row r="307" spans="1:11">
      <c r="A307" s="217"/>
      <c r="B307" s="218"/>
      <c r="C307" s="446"/>
      <c r="D307" s="218"/>
      <c r="E307" s="221"/>
      <c r="F307" s="448"/>
      <c r="G307" s="448"/>
      <c r="H307" s="222"/>
      <c r="I307" s="221">
        <f t="shared" si="2"/>
        <v>0</v>
      </c>
      <c r="J307" s="218" t="s">
        <v>160</v>
      </c>
      <c r="K307" s="449">
        <f>SUM(F210:F309)</f>
        <v>0</v>
      </c>
    </row>
    <row r="308" spans="1:11">
      <c r="A308" s="217"/>
      <c r="B308" s="218"/>
      <c r="C308" s="446"/>
      <c r="D308" s="218"/>
      <c r="E308" s="221"/>
      <c r="F308" s="448"/>
      <c r="G308" s="448"/>
      <c r="H308" s="222"/>
      <c r="I308" s="221">
        <f t="shared" si="2"/>
        <v>0</v>
      </c>
      <c r="J308" s="218" t="s">
        <v>72</v>
      </c>
      <c r="K308" s="449">
        <f>SUM(G210:G309)</f>
        <v>0</v>
      </c>
    </row>
    <row r="309" spans="1:11">
      <c r="A309" s="217"/>
      <c r="B309" s="218"/>
      <c r="C309" s="446"/>
      <c r="D309" s="218"/>
      <c r="E309" s="221"/>
      <c r="F309" s="448"/>
      <c r="G309" s="448"/>
      <c r="H309" s="222"/>
      <c r="I309" s="221">
        <f t="shared" si="2"/>
        <v>0</v>
      </c>
      <c r="J309" s="218" t="s">
        <v>162</v>
      </c>
      <c r="K309" s="449">
        <f>SUM(H210:H309)</f>
        <v>0</v>
      </c>
    </row>
    <row r="310" spans="1:11">
      <c r="A310" s="218"/>
      <c r="B310" s="218"/>
      <c r="C310" s="218"/>
      <c r="D310" s="218"/>
      <c r="E310" s="218"/>
      <c r="F310" s="218"/>
      <c r="G310" s="218"/>
      <c r="H310" s="222"/>
      <c r="J310" s="452" t="s">
        <v>163</v>
      </c>
      <c r="K310" s="450">
        <f>SUM(K306:K309)</f>
        <v>0</v>
      </c>
    </row>
    <row r="311" spans="1:11" thickBot="1">
      <c r="A311" s="485" t="s">
        <v>22</v>
      </c>
      <c r="B311" s="486"/>
      <c r="C311" s="486"/>
      <c r="D311" s="486"/>
      <c r="E311" s="486"/>
      <c r="F311" s="486"/>
      <c r="G311" s="486"/>
      <c r="H311" s="486"/>
      <c r="I311" s="486"/>
      <c r="J311" s="486"/>
    </row>
    <row r="312" spans="1:11" ht="15">
      <c r="A312" s="217"/>
      <c r="B312" s="218"/>
      <c r="C312" s="446"/>
      <c r="D312" s="218"/>
      <c r="E312" s="221"/>
      <c r="F312" s="222"/>
      <c r="G312" s="221"/>
      <c r="H312" s="221"/>
      <c r="I312" s="221">
        <f t="shared" ref="I312:I411" si="3">SUM(E312:H312)</f>
        <v>0</v>
      </c>
      <c r="J312" s="447"/>
    </row>
    <row r="313" spans="1:11" ht="15">
      <c r="A313" s="217"/>
      <c r="B313" s="218"/>
      <c r="C313" s="446"/>
      <c r="D313" s="218"/>
      <c r="E313" s="222"/>
      <c r="F313" s="222"/>
      <c r="G313" s="221"/>
      <c r="H313" s="222"/>
      <c r="I313" s="221">
        <f t="shared" si="3"/>
        <v>0</v>
      </c>
      <c r="J313" s="447"/>
    </row>
    <row r="314" spans="1:11" ht="15">
      <c r="A314" s="217"/>
      <c r="B314" s="218"/>
      <c r="C314" s="446"/>
      <c r="D314" s="218"/>
      <c r="E314" s="221"/>
      <c r="F314" s="222"/>
      <c r="G314" s="221"/>
      <c r="H314" s="221"/>
      <c r="I314" s="221">
        <f t="shared" si="3"/>
        <v>0</v>
      </c>
      <c r="J314" s="447"/>
    </row>
    <row r="315" spans="1:11" ht="15">
      <c r="A315" s="217"/>
      <c r="B315" s="218"/>
      <c r="C315" s="446"/>
      <c r="D315" s="218"/>
      <c r="E315" s="221"/>
      <c r="F315" s="222"/>
      <c r="G315" s="221"/>
      <c r="H315" s="221"/>
      <c r="I315" s="221">
        <f t="shared" si="3"/>
        <v>0</v>
      </c>
      <c r="J315" s="447"/>
    </row>
    <row r="316" spans="1:11" ht="15">
      <c r="A316" s="217"/>
      <c r="B316" s="218"/>
      <c r="C316" s="446"/>
      <c r="D316" s="218"/>
      <c r="E316" s="222"/>
      <c r="F316" s="222"/>
      <c r="G316" s="221"/>
      <c r="H316" s="222"/>
      <c r="I316" s="221">
        <f t="shared" si="3"/>
        <v>0</v>
      </c>
      <c r="J316" s="447"/>
    </row>
    <row r="317" spans="1:11" ht="15">
      <c r="A317" s="217"/>
      <c r="B317" s="218"/>
      <c r="C317" s="446"/>
      <c r="D317" s="218"/>
      <c r="E317" s="221"/>
      <c r="F317" s="222"/>
      <c r="G317" s="221"/>
      <c r="H317" s="221"/>
      <c r="I317" s="221">
        <f t="shared" si="3"/>
        <v>0</v>
      </c>
      <c r="J317" s="447"/>
    </row>
    <row r="318" spans="1:11" ht="15">
      <c r="A318" s="217"/>
      <c r="B318" s="218"/>
      <c r="C318" s="446"/>
      <c r="D318" s="218"/>
      <c r="E318" s="221"/>
      <c r="F318" s="222"/>
      <c r="G318" s="221"/>
      <c r="H318" s="221"/>
      <c r="I318" s="221">
        <f t="shared" si="3"/>
        <v>0</v>
      </c>
      <c r="J318" s="447"/>
    </row>
    <row r="319" spans="1:11" ht="15">
      <c r="A319" s="217"/>
      <c r="B319" s="218"/>
      <c r="C319" s="446"/>
      <c r="D319" s="218"/>
      <c r="E319" s="221"/>
      <c r="F319" s="222"/>
      <c r="G319" s="221"/>
      <c r="H319" s="221"/>
      <c r="I319" s="221">
        <f t="shared" si="3"/>
        <v>0</v>
      </c>
      <c r="J319" s="447"/>
    </row>
    <row r="320" spans="1:11" ht="15">
      <c r="A320" s="217"/>
      <c r="B320" s="218"/>
      <c r="C320" s="446"/>
      <c r="D320" s="218"/>
      <c r="E320" s="222"/>
      <c r="F320" s="222"/>
      <c r="G320" s="221"/>
      <c r="H320" s="222"/>
      <c r="I320" s="221">
        <f t="shared" si="3"/>
        <v>0</v>
      </c>
      <c r="J320" s="447"/>
    </row>
    <row r="321" spans="1:10" ht="15">
      <c r="A321" s="217"/>
      <c r="B321" s="218"/>
      <c r="C321" s="446"/>
      <c r="D321" s="218"/>
      <c r="E321" s="222"/>
      <c r="F321" s="222"/>
      <c r="G321" s="221"/>
      <c r="H321" s="222"/>
      <c r="I321" s="221">
        <f t="shared" si="3"/>
        <v>0</v>
      </c>
      <c r="J321" s="447"/>
    </row>
    <row r="322" spans="1:10" ht="15">
      <c r="A322" s="217"/>
      <c r="B322" s="218"/>
      <c r="C322" s="446"/>
      <c r="D322" s="218"/>
      <c r="E322" s="221"/>
      <c r="F322" s="222"/>
      <c r="G322" s="221"/>
      <c r="H322" s="221"/>
      <c r="I322" s="221">
        <f t="shared" si="3"/>
        <v>0</v>
      </c>
      <c r="J322" s="447"/>
    </row>
    <row r="323" spans="1:10" ht="15">
      <c r="A323" s="217"/>
      <c r="B323" s="218"/>
      <c r="C323" s="446"/>
      <c r="D323" s="218"/>
      <c r="E323" s="221"/>
      <c r="F323" s="222"/>
      <c r="G323" s="221"/>
      <c r="H323" s="221"/>
      <c r="I323" s="221">
        <f t="shared" si="3"/>
        <v>0</v>
      </c>
      <c r="J323" s="447"/>
    </row>
    <row r="324" spans="1:10" ht="15">
      <c r="A324" s="217"/>
      <c r="B324" s="218"/>
      <c r="C324" s="446"/>
      <c r="D324" s="218"/>
      <c r="E324" s="221"/>
      <c r="F324" s="222"/>
      <c r="G324" s="221"/>
      <c r="H324" s="221"/>
      <c r="I324" s="221">
        <f t="shared" si="3"/>
        <v>0</v>
      </c>
      <c r="J324" s="447"/>
    </row>
    <row r="325" spans="1:10" ht="15">
      <c r="A325" s="217"/>
      <c r="B325" s="218"/>
      <c r="C325" s="446"/>
      <c r="D325" s="218"/>
      <c r="E325" s="222"/>
      <c r="F325" s="222"/>
      <c r="G325" s="221"/>
      <c r="H325" s="222"/>
      <c r="I325" s="221">
        <f t="shared" si="3"/>
        <v>0</v>
      </c>
      <c r="J325" s="447"/>
    </row>
    <row r="326" spans="1:10" ht="15">
      <c r="A326" s="217"/>
      <c r="B326" s="218"/>
      <c r="C326" s="446"/>
      <c r="D326" s="218"/>
      <c r="E326" s="222"/>
      <c r="F326" s="222"/>
      <c r="G326" s="221"/>
      <c r="H326" s="222"/>
      <c r="I326" s="221">
        <f t="shared" si="3"/>
        <v>0</v>
      </c>
      <c r="J326" s="447"/>
    </row>
    <row r="327" spans="1:10" ht="15">
      <c r="A327" s="217"/>
      <c r="B327" s="218"/>
      <c r="C327" s="446"/>
      <c r="D327" s="218"/>
      <c r="E327" s="222"/>
      <c r="F327" s="222"/>
      <c r="G327" s="221"/>
      <c r="H327" s="222"/>
      <c r="I327" s="221">
        <f t="shared" si="3"/>
        <v>0</v>
      </c>
      <c r="J327" s="447"/>
    </row>
    <row r="328" spans="1:10" ht="15">
      <c r="A328" s="217"/>
      <c r="B328" s="218"/>
      <c r="C328" s="446"/>
      <c r="D328" s="218"/>
      <c r="E328" s="222"/>
      <c r="F328" s="222"/>
      <c r="G328" s="221"/>
      <c r="H328" s="222"/>
      <c r="I328" s="221">
        <f t="shared" si="3"/>
        <v>0</v>
      </c>
      <c r="J328" s="447"/>
    </row>
    <row r="329" spans="1:10" ht="15">
      <c r="A329" s="217"/>
      <c r="B329" s="218"/>
      <c r="C329" s="446"/>
      <c r="D329" s="218"/>
      <c r="E329" s="222"/>
      <c r="F329" s="222"/>
      <c r="G329" s="221"/>
      <c r="H329" s="222"/>
      <c r="I329" s="221">
        <f t="shared" si="3"/>
        <v>0</v>
      </c>
      <c r="J329" s="447"/>
    </row>
    <row r="330" spans="1:10" ht="15">
      <c r="A330" s="217"/>
      <c r="B330" s="218"/>
      <c r="C330" s="446"/>
      <c r="D330" s="218"/>
      <c r="E330" s="222"/>
      <c r="F330" s="222"/>
      <c r="G330" s="221"/>
      <c r="H330" s="222"/>
      <c r="I330" s="221">
        <f t="shared" si="3"/>
        <v>0</v>
      </c>
      <c r="J330" s="447"/>
    </row>
    <row r="331" spans="1:10" ht="15">
      <c r="A331" s="217"/>
      <c r="B331" s="218"/>
      <c r="C331" s="446"/>
      <c r="D331" s="218"/>
      <c r="E331" s="222"/>
      <c r="F331" s="222"/>
      <c r="G331" s="221"/>
      <c r="H331" s="222"/>
      <c r="I331" s="221">
        <f t="shared" si="3"/>
        <v>0</v>
      </c>
      <c r="J331" s="447"/>
    </row>
    <row r="332" spans="1:10" ht="15">
      <c r="A332" s="217"/>
      <c r="B332" s="218"/>
      <c r="C332" s="446"/>
      <c r="D332" s="218"/>
      <c r="E332" s="221"/>
      <c r="F332" s="224"/>
      <c r="G332" s="224"/>
      <c r="H332" s="222"/>
      <c r="I332" s="221">
        <f t="shared" si="3"/>
        <v>0</v>
      </c>
      <c r="J332" s="447"/>
    </row>
    <row r="333" spans="1:10" ht="15">
      <c r="A333" s="217"/>
      <c r="B333" s="218"/>
      <c r="C333" s="446"/>
      <c r="D333" s="226"/>
      <c r="E333" s="221"/>
      <c r="F333" s="224"/>
      <c r="G333" s="224"/>
      <c r="H333" s="222"/>
      <c r="I333" s="221">
        <f t="shared" si="3"/>
        <v>0</v>
      </c>
      <c r="J333" s="447"/>
    </row>
    <row r="334" spans="1:10" ht="15">
      <c r="A334" s="217"/>
      <c r="B334" s="218"/>
      <c r="C334" s="446"/>
      <c r="D334" s="218"/>
      <c r="E334" s="221"/>
      <c r="F334" s="224"/>
      <c r="G334" s="224"/>
      <c r="H334" s="222"/>
      <c r="I334" s="221">
        <f t="shared" si="3"/>
        <v>0</v>
      </c>
      <c r="J334" s="447"/>
    </row>
    <row r="335" spans="1:10" ht="15">
      <c r="A335" s="217"/>
      <c r="B335" s="218"/>
      <c r="C335" s="446"/>
      <c r="D335" s="218"/>
      <c r="E335" s="221"/>
      <c r="F335" s="224"/>
      <c r="G335" s="224"/>
      <c r="H335" s="222"/>
      <c r="I335" s="221">
        <f t="shared" si="3"/>
        <v>0</v>
      </c>
      <c r="J335" s="447"/>
    </row>
    <row r="336" spans="1:10" ht="15">
      <c r="A336" s="217"/>
      <c r="B336" s="218"/>
      <c r="C336" s="446"/>
      <c r="D336" s="218"/>
      <c r="E336" s="221"/>
      <c r="F336" s="224"/>
      <c r="G336" s="224"/>
      <c r="H336" s="222"/>
      <c r="I336" s="221">
        <f t="shared" si="3"/>
        <v>0</v>
      </c>
      <c r="J336" s="447"/>
    </row>
    <row r="337" spans="1:10" ht="15">
      <c r="A337" s="217"/>
      <c r="B337" s="218"/>
      <c r="C337" s="446"/>
      <c r="D337" s="218"/>
      <c r="E337" s="221"/>
      <c r="F337" s="224"/>
      <c r="G337" s="224"/>
      <c r="H337" s="222"/>
      <c r="I337" s="221">
        <f t="shared" si="3"/>
        <v>0</v>
      </c>
      <c r="J337" s="447"/>
    </row>
    <row r="338" spans="1:10" ht="15">
      <c r="A338" s="217"/>
      <c r="B338" s="218"/>
      <c r="C338" s="446"/>
      <c r="D338" s="218"/>
      <c r="E338" s="221"/>
      <c r="F338" s="224"/>
      <c r="G338" s="224"/>
      <c r="H338" s="222"/>
      <c r="I338" s="221">
        <f t="shared" si="3"/>
        <v>0</v>
      </c>
      <c r="J338" s="447"/>
    </row>
    <row r="339" spans="1:10" ht="15">
      <c r="A339" s="217"/>
      <c r="B339" s="218"/>
      <c r="C339" s="446"/>
      <c r="D339" s="218"/>
      <c r="E339" s="221"/>
      <c r="F339" s="224"/>
      <c r="G339" s="224"/>
      <c r="H339" s="222"/>
      <c r="I339" s="221">
        <f t="shared" si="3"/>
        <v>0</v>
      </c>
      <c r="J339" s="447"/>
    </row>
    <row r="340" spans="1:10" ht="15">
      <c r="A340" s="217"/>
      <c r="B340" s="218"/>
      <c r="C340" s="446"/>
      <c r="D340" s="218"/>
      <c r="E340" s="221"/>
      <c r="F340" s="224"/>
      <c r="G340" s="224"/>
      <c r="H340" s="222"/>
      <c r="I340" s="221">
        <f t="shared" si="3"/>
        <v>0</v>
      </c>
      <c r="J340" s="447"/>
    </row>
    <row r="341" spans="1:10" ht="15">
      <c r="A341" s="217"/>
      <c r="B341" s="218"/>
      <c r="C341" s="446"/>
      <c r="D341" s="218"/>
      <c r="E341" s="221"/>
      <c r="F341" s="224"/>
      <c r="G341" s="224"/>
      <c r="H341" s="222"/>
      <c r="I341" s="221">
        <f t="shared" si="3"/>
        <v>0</v>
      </c>
      <c r="J341" s="447"/>
    </row>
    <row r="342" spans="1:10" ht="15">
      <c r="A342" s="217"/>
      <c r="B342" s="218"/>
      <c r="C342" s="446"/>
      <c r="D342" s="218"/>
      <c r="E342" s="221"/>
      <c r="F342" s="224"/>
      <c r="G342" s="224"/>
      <c r="H342" s="222"/>
      <c r="I342" s="221">
        <f t="shared" si="3"/>
        <v>0</v>
      </c>
      <c r="J342" s="447"/>
    </row>
    <row r="343" spans="1:10" ht="15">
      <c r="A343" s="217"/>
      <c r="B343" s="218"/>
      <c r="C343" s="446"/>
      <c r="D343" s="218"/>
      <c r="E343" s="221"/>
      <c r="F343" s="224"/>
      <c r="G343" s="224"/>
      <c r="H343" s="222"/>
      <c r="I343" s="221">
        <f t="shared" si="3"/>
        <v>0</v>
      </c>
      <c r="J343" s="447"/>
    </row>
    <row r="344" spans="1:10" ht="15">
      <c r="A344" s="217"/>
      <c r="B344" s="218"/>
      <c r="C344" s="446"/>
      <c r="D344" s="218"/>
      <c r="E344" s="221"/>
      <c r="F344" s="224"/>
      <c r="G344" s="224"/>
      <c r="H344" s="222"/>
      <c r="I344" s="221">
        <f t="shared" si="3"/>
        <v>0</v>
      </c>
      <c r="J344" s="447"/>
    </row>
    <row r="345" spans="1:10" ht="15">
      <c r="A345" s="217"/>
      <c r="B345" s="218"/>
      <c r="C345" s="446"/>
      <c r="D345" s="218"/>
      <c r="E345" s="221"/>
      <c r="F345" s="224"/>
      <c r="G345" s="224"/>
      <c r="H345" s="222"/>
      <c r="I345" s="221">
        <f t="shared" si="3"/>
        <v>0</v>
      </c>
      <c r="J345" s="447"/>
    </row>
    <row r="346" spans="1:10" ht="15">
      <c r="A346" s="217"/>
      <c r="B346" s="218"/>
      <c r="C346" s="446"/>
      <c r="D346" s="218"/>
      <c r="E346" s="221"/>
      <c r="F346" s="224"/>
      <c r="G346" s="224"/>
      <c r="H346" s="222"/>
      <c r="I346" s="221">
        <f t="shared" si="3"/>
        <v>0</v>
      </c>
      <c r="J346" s="447"/>
    </row>
    <row r="347" spans="1:10" ht="15">
      <c r="A347" s="217"/>
      <c r="B347" s="218"/>
      <c r="C347" s="446"/>
      <c r="D347" s="218"/>
      <c r="E347" s="221"/>
      <c r="F347" s="224"/>
      <c r="G347" s="224"/>
      <c r="H347" s="222"/>
      <c r="I347" s="221">
        <f t="shared" si="3"/>
        <v>0</v>
      </c>
      <c r="J347" s="447"/>
    </row>
    <row r="348" spans="1:10" ht="15">
      <c r="A348" s="217"/>
      <c r="B348" s="218"/>
      <c r="C348" s="446"/>
      <c r="D348" s="218"/>
      <c r="E348" s="221"/>
      <c r="F348" s="224"/>
      <c r="G348" s="224"/>
      <c r="H348" s="222"/>
      <c r="I348" s="221">
        <f t="shared" si="3"/>
        <v>0</v>
      </c>
      <c r="J348" s="447"/>
    </row>
    <row r="349" spans="1:10" ht="15">
      <c r="A349" s="217"/>
      <c r="B349" s="218"/>
      <c r="C349" s="446"/>
      <c r="D349" s="218"/>
      <c r="E349" s="221"/>
      <c r="F349" s="224"/>
      <c r="G349" s="224"/>
      <c r="H349" s="222"/>
      <c r="I349" s="221">
        <f t="shared" si="3"/>
        <v>0</v>
      </c>
      <c r="J349" s="447"/>
    </row>
    <row r="350" spans="1:10" ht="15">
      <c r="A350" s="217"/>
      <c r="B350" s="218"/>
      <c r="C350" s="446"/>
      <c r="D350" s="226"/>
      <c r="E350" s="221"/>
      <c r="F350" s="224"/>
      <c r="G350" s="224"/>
      <c r="H350" s="222"/>
      <c r="I350" s="221">
        <f t="shared" si="3"/>
        <v>0</v>
      </c>
      <c r="J350" s="447"/>
    </row>
    <row r="351" spans="1:10" ht="15">
      <c r="A351" s="217"/>
      <c r="B351" s="218"/>
      <c r="C351" s="446"/>
      <c r="D351" s="218"/>
      <c r="E351" s="221"/>
      <c r="F351" s="224"/>
      <c r="G351" s="224"/>
      <c r="H351" s="222"/>
      <c r="I351" s="221">
        <f t="shared" si="3"/>
        <v>0</v>
      </c>
      <c r="J351" s="447"/>
    </row>
    <row r="352" spans="1:10" ht="15">
      <c r="A352" s="217"/>
      <c r="B352" s="218"/>
      <c r="C352" s="446"/>
      <c r="D352" s="218"/>
      <c r="E352" s="221"/>
      <c r="F352" s="224"/>
      <c r="G352" s="224"/>
      <c r="H352" s="222"/>
      <c r="I352" s="221">
        <f t="shared" si="3"/>
        <v>0</v>
      </c>
      <c r="J352" s="447"/>
    </row>
    <row r="353" spans="1:10" ht="15">
      <c r="A353" s="217"/>
      <c r="B353" s="218"/>
      <c r="C353" s="446"/>
      <c r="D353" s="218"/>
      <c r="E353" s="221"/>
      <c r="F353" s="224"/>
      <c r="G353" s="224"/>
      <c r="H353" s="222"/>
      <c r="I353" s="221">
        <f t="shared" si="3"/>
        <v>0</v>
      </c>
      <c r="J353" s="447"/>
    </row>
    <row r="354" spans="1:10" ht="15">
      <c r="A354" s="217"/>
      <c r="B354" s="218"/>
      <c r="C354" s="446"/>
      <c r="D354" s="218"/>
      <c r="E354" s="221"/>
      <c r="F354" s="224"/>
      <c r="G354" s="224"/>
      <c r="H354" s="222"/>
      <c r="I354" s="221">
        <f t="shared" si="3"/>
        <v>0</v>
      </c>
      <c r="J354" s="447"/>
    </row>
    <row r="355" spans="1:10" ht="15">
      <c r="A355" s="217"/>
      <c r="B355" s="218"/>
      <c r="C355" s="446"/>
      <c r="D355" s="218"/>
      <c r="E355" s="221"/>
      <c r="F355" s="224"/>
      <c r="G355" s="224"/>
      <c r="H355" s="222"/>
      <c r="I355" s="221">
        <f t="shared" si="3"/>
        <v>0</v>
      </c>
      <c r="J355" s="447"/>
    </row>
    <row r="356" spans="1:10" ht="15">
      <c r="A356" s="217"/>
      <c r="B356" s="218"/>
      <c r="C356" s="446"/>
      <c r="D356" s="218"/>
      <c r="E356" s="221"/>
      <c r="F356" s="224"/>
      <c r="G356" s="224"/>
      <c r="H356" s="222"/>
      <c r="I356" s="221">
        <f t="shared" si="3"/>
        <v>0</v>
      </c>
      <c r="J356" s="447"/>
    </row>
    <row r="357" spans="1:10" ht="15">
      <c r="A357" s="217"/>
      <c r="B357" s="218"/>
      <c r="C357" s="446"/>
      <c r="D357" s="218"/>
      <c r="E357" s="221"/>
      <c r="F357" s="224"/>
      <c r="G357" s="224"/>
      <c r="H357" s="222"/>
      <c r="I357" s="221">
        <f t="shared" si="3"/>
        <v>0</v>
      </c>
      <c r="J357" s="447"/>
    </row>
    <row r="358" spans="1:10" ht="15">
      <c r="A358" s="217"/>
      <c r="B358" s="218"/>
      <c r="C358" s="446"/>
      <c r="D358" s="218"/>
      <c r="E358" s="221"/>
      <c r="F358" s="448"/>
      <c r="G358" s="448"/>
      <c r="H358" s="222"/>
      <c r="I358" s="221">
        <f t="shared" si="3"/>
        <v>0</v>
      </c>
      <c r="J358" s="447"/>
    </row>
    <row r="359" spans="1:10" ht="15">
      <c r="A359" s="217"/>
      <c r="B359" s="218"/>
      <c r="C359" s="446"/>
      <c r="D359" s="218"/>
      <c r="E359" s="221"/>
      <c r="F359" s="448"/>
      <c r="G359" s="448"/>
      <c r="H359" s="222"/>
      <c r="I359" s="221">
        <f t="shared" si="3"/>
        <v>0</v>
      </c>
      <c r="J359" s="447"/>
    </row>
    <row r="360" spans="1:10" ht="15">
      <c r="A360" s="217"/>
      <c r="B360" s="218"/>
      <c r="C360" s="446"/>
      <c r="D360" s="218"/>
      <c r="E360" s="221"/>
      <c r="F360" s="448"/>
      <c r="G360" s="448"/>
      <c r="H360" s="222"/>
      <c r="I360" s="221">
        <f t="shared" si="3"/>
        <v>0</v>
      </c>
      <c r="J360" s="447"/>
    </row>
    <row r="361" spans="1:10" ht="15">
      <c r="A361" s="217"/>
      <c r="B361" s="218"/>
      <c r="C361" s="446"/>
      <c r="D361" s="218"/>
      <c r="E361" s="221"/>
      <c r="F361" s="448"/>
      <c r="G361" s="448"/>
      <c r="H361" s="222"/>
      <c r="I361" s="221">
        <f t="shared" si="3"/>
        <v>0</v>
      </c>
      <c r="J361" s="447"/>
    </row>
    <row r="362" spans="1:10" ht="15">
      <c r="A362" s="217"/>
      <c r="B362" s="218"/>
      <c r="C362" s="446"/>
      <c r="D362" s="218"/>
      <c r="E362" s="221"/>
      <c r="F362" s="448"/>
      <c r="G362" s="448"/>
      <c r="H362" s="222"/>
      <c r="I362" s="221">
        <f t="shared" si="3"/>
        <v>0</v>
      </c>
      <c r="J362" s="447"/>
    </row>
    <row r="363" spans="1:10" ht="15">
      <c r="A363" s="217"/>
      <c r="B363" s="218"/>
      <c r="C363" s="446"/>
      <c r="D363" s="218"/>
      <c r="E363" s="221"/>
      <c r="F363" s="448"/>
      <c r="G363" s="448"/>
      <c r="H363" s="222"/>
      <c r="I363" s="221">
        <f t="shared" si="3"/>
        <v>0</v>
      </c>
      <c r="J363" s="447"/>
    </row>
    <row r="364" spans="1:10" ht="15">
      <c r="A364" s="217"/>
      <c r="B364" s="218"/>
      <c r="C364" s="446"/>
      <c r="D364" s="218"/>
      <c r="E364" s="221"/>
      <c r="F364" s="448"/>
      <c r="G364" s="448"/>
      <c r="H364" s="222"/>
      <c r="I364" s="221">
        <f t="shared" si="3"/>
        <v>0</v>
      </c>
      <c r="J364" s="447"/>
    </row>
    <row r="365" spans="1:10" ht="15">
      <c r="A365" s="217"/>
      <c r="B365" s="218"/>
      <c r="C365" s="446"/>
      <c r="D365" s="218"/>
      <c r="E365" s="221"/>
      <c r="F365" s="448"/>
      <c r="G365" s="448"/>
      <c r="H365" s="222"/>
      <c r="I365" s="221">
        <f t="shared" si="3"/>
        <v>0</v>
      </c>
      <c r="J365" s="447"/>
    </row>
    <row r="366" spans="1:10" ht="15">
      <c r="A366" s="217"/>
      <c r="B366" s="218"/>
      <c r="C366" s="446"/>
      <c r="D366" s="218"/>
      <c r="E366" s="221"/>
      <c r="F366" s="448"/>
      <c r="G366" s="448"/>
      <c r="H366" s="222"/>
      <c r="I366" s="221">
        <f t="shared" si="3"/>
        <v>0</v>
      </c>
      <c r="J366" s="447"/>
    </row>
    <row r="367" spans="1:10" ht="15">
      <c r="A367" s="217"/>
      <c r="B367" s="218"/>
      <c r="C367" s="446"/>
      <c r="D367" s="218"/>
      <c r="E367" s="221"/>
      <c r="F367" s="448"/>
      <c r="G367" s="448"/>
      <c r="H367" s="222"/>
      <c r="I367" s="221">
        <f t="shared" si="3"/>
        <v>0</v>
      </c>
      <c r="J367" s="447"/>
    </row>
    <row r="368" spans="1:10" ht="15">
      <c r="A368" s="217"/>
      <c r="B368" s="218"/>
      <c r="C368" s="446"/>
      <c r="D368" s="218"/>
      <c r="E368" s="221"/>
      <c r="F368" s="448"/>
      <c r="G368" s="448"/>
      <c r="H368" s="222"/>
      <c r="I368" s="221">
        <f t="shared" si="3"/>
        <v>0</v>
      </c>
      <c r="J368" s="447"/>
    </row>
    <row r="369" spans="1:10" ht="15">
      <c r="A369" s="217"/>
      <c r="B369" s="218"/>
      <c r="C369" s="446"/>
      <c r="D369" s="218"/>
      <c r="E369" s="221"/>
      <c r="F369" s="448"/>
      <c r="G369" s="448"/>
      <c r="H369" s="222"/>
      <c r="I369" s="221">
        <f t="shared" si="3"/>
        <v>0</v>
      </c>
      <c r="J369" s="447"/>
    </row>
    <row r="370" spans="1:10" ht="15">
      <c r="A370" s="217"/>
      <c r="B370" s="218"/>
      <c r="C370" s="446"/>
      <c r="D370" s="218"/>
      <c r="E370" s="221"/>
      <c r="F370" s="448"/>
      <c r="G370" s="448"/>
      <c r="H370" s="222"/>
      <c r="I370" s="221">
        <f t="shared" si="3"/>
        <v>0</v>
      </c>
      <c r="J370" s="447"/>
    </row>
    <row r="371" spans="1:10" ht="15">
      <c r="A371" s="217"/>
      <c r="B371" s="218"/>
      <c r="C371" s="446"/>
      <c r="D371" s="218"/>
      <c r="E371" s="221"/>
      <c r="F371" s="448"/>
      <c r="G371" s="448"/>
      <c r="H371" s="222"/>
      <c r="I371" s="221">
        <f t="shared" si="3"/>
        <v>0</v>
      </c>
      <c r="J371" s="447"/>
    </row>
    <row r="372" spans="1:10" ht="15">
      <c r="A372" s="217"/>
      <c r="B372" s="218"/>
      <c r="C372" s="446"/>
      <c r="D372" s="218"/>
      <c r="E372" s="221"/>
      <c r="F372" s="448"/>
      <c r="G372" s="448"/>
      <c r="H372" s="222"/>
      <c r="I372" s="221">
        <f t="shared" si="3"/>
        <v>0</v>
      </c>
      <c r="J372" s="447"/>
    </row>
    <row r="373" spans="1:10" ht="15">
      <c r="A373" s="217"/>
      <c r="B373" s="218"/>
      <c r="C373" s="446"/>
      <c r="D373" s="218"/>
      <c r="E373" s="221"/>
      <c r="F373" s="448"/>
      <c r="G373" s="448"/>
      <c r="H373" s="222"/>
      <c r="I373" s="221">
        <f t="shared" si="3"/>
        <v>0</v>
      </c>
      <c r="J373" s="447"/>
    </row>
    <row r="374" spans="1:10" ht="15">
      <c r="A374" s="217"/>
      <c r="B374" s="218"/>
      <c r="C374" s="446"/>
      <c r="D374" s="218"/>
      <c r="E374" s="221"/>
      <c r="F374" s="448"/>
      <c r="G374" s="448"/>
      <c r="H374" s="222"/>
      <c r="I374" s="221">
        <f t="shared" si="3"/>
        <v>0</v>
      </c>
      <c r="J374" s="447"/>
    </row>
    <row r="375" spans="1:10" ht="15">
      <c r="A375" s="217"/>
      <c r="B375" s="218"/>
      <c r="C375" s="446"/>
      <c r="D375" s="218"/>
      <c r="E375" s="221"/>
      <c r="F375" s="448"/>
      <c r="G375" s="448"/>
      <c r="H375" s="222"/>
      <c r="I375" s="221">
        <f t="shared" si="3"/>
        <v>0</v>
      </c>
      <c r="J375" s="447"/>
    </row>
    <row r="376" spans="1:10" ht="15">
      <c r="A376" s="217"/>
      <c r="B376" s="218"/>
      <c r="C376" s="446"/>
      <c r="D376" s="218"/>
      <c r="E376" s="221"/>
      <c r="F376" s="448"/>
      <c r="G376" s="448"/>
      <c r="H376" s="222"/>
      <c r="I376" s="221">
        <f t="shared" si="3"/>
        <v>0</v>
      </c>
      <c r="J376" s="447"/>
    </row>
    <row r="377" spans="1:10" ht="15">
      <c r="A377" s="217"/>
      <c r="B377" s="218"/>
      <c r="C377" s="446"/>
      <c r="D377" s="218"/>
      <c r="E377" s="221"/>
      <c r="F377" s="448"/>
      <c r="G377" s="448"/>
      <c r="H377" s="222"/>
      <c r="I377" s="221">
        <f t="shared" si="3"/>
        <v>0</v>
      </c>
      <c r="J377" s="447"/>
    </row>
    <row r="378" spans="1:10" ht="15">
      <c r="A378" s="217"/>
      <c r="B378" s="218"/>
      <c r="C378" s="446"/>
      <c r="D378" s="218"/>
      <c r="E378" s="221"/>
      <c r="F378" s="448"/>
      <c r="G378" s="448"/>
      <c r="H378" s="222"/>
      <c r="I378" s="221">
        <f t="shared" si="3"/>
        <v>0</v>
      </c>
      <c r="J378" s="447"/>
    </row>
    <row r="379" spans="1:10" ht="15">
      <c r="A379" s="217"/>
      <c r="B379" s="218"/>
      <c r="C379" s="446"/>
      <c r="D379" s="218"/>
      <c r="E379" s="221"/>
      <c r="F379" s="448"/>
      <c r="G379" s="448"/>
      <c r="H379" s="222"/>
      <c r="I379" s="221">
        <f t="shared" si="3"/>
        <v>0</v>
      </c>
      <c r="J379" s="447"/>
    </row>
    <row r="380" spans="1:10" ht="15">
      <c r="A380" s="217"/>
      <c r="B380" s="218"/>
      <c r="C380" s="446"/>
      <c r="D380" s="218"/>
      <c r="E380" s="221"/>
      <c r="F380" s="448"/>
      <c r="G380" s="448"/>
      <c r="H380" s="222"/>
      <c r="I380" s="221">
        <f t="shared" si="3"/>
        <v>0</v>
      </c>
      <c r="J380" s="447"/>
    </row>
    <row r="381" spans="1:10" ht="15">
      <c r="A381" s="217"/>
      <c r="B381" s="218"/>
      <c r="C381" s="446"/>
      <c r="D381" s="218"/>
      <c r="E381" s="221"/>
      <c r="F381" s="448"/>
      <c r="G381" s="448"/>
      <c r="H381" s="222"/>
      <c r="I381" s="221">
        <f t="shared" si="3"/>
        <v>0</v>
      </c>
      <c r="J381" s="447"/>
    </row>
    <row r="382" spans="1:10" ht="15">
      <c r="A382" s="217"/>
      <c r="B382" s="218"/>
      <c r="C382" s="446"/>
      <c r="D382" s="218"/>
      <c r="E382" s="221"/>
      <c r="F382" s="448"/>
      <c r="G382" s="448"/>
      <c r="H382" s="222"/>
      <c r="I382" s="221">
        <f t="shared" si="3"/>
        <v>0</v>
      </c>
      <c r="J382" s="447"/>
    </row>
    <row r="383" spans="1:10" ht="15">
      <c r="A383" s="217"/>
      <c r="B383" s="218"/>
      <c r="C383" s="446"/>
      <c r="D383" s="218"/>
      <c r="E383" s="221"/>
      <c r="F383" s="448"/>
      <c r="G383" s="448"/>
      <c r="H383" s="222"/>
      <c r="I383" s="221">
        <f t="shared" si="3"/>
        <v>0</v>
      </c>
      <c r="J383" s="447"/>
    </row>
    <row r="384" spans="1:10" ht="15">
      <c r="A384" s="217"/>
      <c r="B384" s="218"/>
      <c r="C384" s="446"/>
      <c r="D384" s="218"/>
      <c r="E384" s="221"/>
      <c r="F384" s="448"/>
      <c r="G384" s="448"/>
      <c r="H384" s="222"/>
      <c r="I384" s="221">
        <f t="shared" si="3"/>
        <v>0</v>
      </c>
      <c r="J384" s="447"/>
    </row>
    <row r="385" spans="1:10" ht="15">
      <c r="A385" s="217"/>
      <c r="B385" s="218"/>
      <c r="C385" s="446"/>
      <c r="D385" s="218"/>
      <c r="E385" s="221"/>
      <c r="F385" s="448"/>
      <c r="G385" s="448"/>
      <c r="H385" s="222"/>
      <c r="I385" s="221">
        <f t="shared" si="3"/>
        <v>0</v>
      </c>
      <c r="J385" s="447"/>
    </row>
    <row r="386" spans="1:10" ht="15">
      <c r="A386" s="217"/>
      <c r="B386" s="218"/>
      <c r="C386" s="446"/>
      <c r="D386" s="218"/>
      <c r="E386" s="221"/>
      <c r="F386" s="448"/>
      <c r="G386" s="448"/>
      <c r="H386" s="222"/>
      <c r="I386" s="221">
        <f t="shared" si="3"/>
        <v>0</v>
      </c>
      <c r="J386" s="447"/>
    </row>
    <row r="387" spans="1:10" ht="15">
      <c r="A387" s="217"/>
      <c r="B387" s="218"/>
      <c r="C387" s="446"/>
      <c r="D387" s="218"/>
      <c r="E387" s="221"/>
      <c r="F387" s="448"/>
      <c r="G387" s="448"/>
      <c r="H387" s="222"/>
      <c r="I387" s="221">
        <f t="shared" si="3"/>
        <v>0</v>
      </c>
      <c r="J387" s="447"/>
    </row>
    <row r="388" spans="1:10" ht="15">
      <c r="A388" s="217"/>
      <c r="B388" s="218"/>
      <c r="C388" s="446"/>
      <c r="D388" s="218"/>
      <c r="E388" s="221"/>
      <c r="F388" s="448"/>
      <c r="G388" s="448"/>
      <c r="H388" s="222"/>
      <c r="I388" s="221">
        <f t="shared" si="3"/>
        <v>0</v>
      </c>
      <c r="J388" s="447"/>
    </row>
    <row r="389" spans="1:10" ht="15">
      <c r="A389" s="217"/>
      <c r="B389" s="218"/>
      <c r="C389" s="446"/>
      <c r="D389" s="218"/>
      <c r="E389" s="221"/>
      <c r="F389" s="448"/>
      <c r="G389" s="448"/>
      <c r="H389" s="222"/>
      <c r="I389" s="221">
        <f t="shared" si="3"/>
        <v>0</v>
      </c>
      <c r="J389" s="447"/>
    </row>
    <row r="390" spans="1:10" ht="15">
      <c r="A390" s="217"/>
      <c r="B390" s="218"/>
      <c r="C390" s="446"/>
      <c r="D390" s="218"/>
      <c r="E390" s="221"/>
      <c r="F390" s="448"/>
      <c r="G390" s="448"/>
      <c r="H390" s="222"/>
      <c r="I390" s="221">
        <f t="shared" si="3"/>
        <v>0</v>
      </c>
      <c r="J390" s="447"/>
    </row>
    <row r="391" spans="1:10" ht="15">
      <c r="A391" s="217"/>
      <c r="B391" s="218"/>
      <c r="C391" s="446"/>
      <c r="D391" s="218"/>
      <c r="E391" s="221"/>
      <c r="F391" s="448"/>
      <c r="G391" s="448"/>
      <c r="H391" s="222"/>
      <c r="I391" s="221">
        <f t="shared" si="3"/>
        <v>0</v>
      </c>
      <c r="J391" s="447"/>
    </row>
    <row r="392" spans="1:10" ht="15">
      <c r="A392" s="217"/>
      <c r="B392" s="218"/>
      <c r="C392" s="446"/>
      <c r="D392" s="218"/>
      <c r="E392" s="221"/>
      <c r="F392" s="448"/>
      <c r="G392" s="448"/>
      <c r="H392" s="222"/>
      <c r="I392" s="221">
        <f t="shared" si="3"/>
        <v>0</v>
      </c>
      <c r="J392" s="447"/>
    </row>
    <row r="393" spans="1:10" ht="15">
      <c r="A393" s="217"/>
      <c r="B393" s="218"/>
      <c r="C393" s="446"/>
      <c r="D393" s="218"/>
      <c r="E393" s="221"/>
      <c r="F393" s="448"/>
      <c r="G393" s="448"/>
      <c r="H393" s="222"/>
      <c r="I393" s="221">
        <f t="shared" si="3"/>
        <v>0</v>
      </c>
      <c r="J393" s="447"/>
    </row>
    <row r="394" spans="1:10" ht="15">
      <c r="A394" s="217"/>
      <c r="B394" s="218"/>
      <c r="C394" s="446"/>
      <c r="D394" s="218"/>
      <c r="E394" s="221"/>
      <c r="F394" s="448"/>
      <c r="G394" s="448"/>
      <c r="H394" s="222"/>
      <c r="I394" s="221">
        <f t="shared" si="3"/>
        <v>0</v>
      </c>
      <c r="J394" s="447"/>
    </row>
    <row r="395" spans="1:10" ht="15">
      <c r="A395" s="217"/>
      <c r="B395" s="218"/>
      <c r="C395" s="446"/>
      <c r="D395" s="218"/>
      <c r="E395" s="221"/>
      <c r="F395" s="448"/>
      <c r="G395" s="448"/>
      <c r="H395" s="222"/>
      <c r="I395" s="221">
        <f t="shared" si="3"/>
        <v>0</v>
      </c>
      <c r="J395" s="447"/>
    </row>
    <row r="396" spans="1:10" ht="15">
      <c r="A396" s="217"/>
      <c r="B396" s="218"/>
      <c r="C396" s="446"/>
      <c r="D396" s="218"/>
      <c r="E396" s="221"/>
      <c r="F396" s="448"/>
      <c r="G396" s="448"/>
      <c r="H396" s="222"/>
      <c r="I396" s="221">
        <f t="shared" si="3"/>
        <v>0</v>
      </c>
      <c r="J396" s="447"/>
    </row>
    <row r="397" spans="1:10" ht="15">
      <c r="A397" s="217"/>
      <c r="B397" s="218"/>
      <c r="C397" s="446"/>
      <c r="D397" s="218"/>
      <c r="E397" s="221"/>
      <c r="F397" s="448"/>
      <c r="G397" s="448"/>
      <c r="H397" s="222"/>
      <c r="I397" s="221">
        <f t="shared" si="3"/>
        <v>0</v>
      </c>
      <c r="J397" s="447"/>
    </row>
    <row r="398" spans="1:10" ht="15">
      <c r="A398" s="217"/>
      <c r="B398" s="218"/>
      <c r="C398" s="446"/>
      <c r="D398" s="218"/>
      <c r="E398" s="221"/>
      <c r="F398" s="448"/>
      <c r="G398" s="448"/>
      <c r="H398" s="222"/>
      <c r="I398" s="221">
        <f t="shared" si="3"/>
        <v>0</v>
      </c>
      <c r="J398" s="447"/>
    </row>
    <row r="399" spans="1:10" ht="15">
      <c r="A399" s="217"/>
      <c r="B399" s="218"/>
      <c r="C399" s="446"/>
      <c r="D399" s="218"/>
      <c r="E399" s="221"/>
      <c r="F399" s="448"/>
      <c r="G399" s="448"/>
      <c r="H399" s="222"/>
      <c r="I399" s="221">
        <f t="shared" si="3"/>
        <v>0</v>
      </c>
      <c r="J399" s="447"/>
    </row>
    <row r="400" spans="1:10" ht="15">
      <c r="A400" s="217"/>
      <c r="B400" s="218"/>
      <c r="C400" s="446"/>
      <c r="D400" s="218"/>
      <c r="E400" s="221"/>
      <c r="F400" s="448"/>
      <c r="G400" s="448"/>
      <c r="H400" s="222"/>
      <c r="I400" s="221">
        <f t="shared" si="3"/>
        <v>0</v>
      </c>
      <c r="J400" s="447"/>
    </row>
    <row r="401" spans="1:11" ht="15">
      <c r="A401" s="217"/>
      <c r="B401" s="218"/>
      <c r="C401" s="446"/>
      <c r="D401" s="218"/>
      <c r="E401" s="221"/>
      <c r="F401" s="448"/>
      <c r="G401" s="448"/>
      <c r="H401" s="222"/>
      <c r="I401" s="221">
        <f t="shared" si="3"/>
        <v>0</v>
      </c>
      <c r="J401" s="447"/>
    </row>
    <row r="402" spans="1:11" ht="15">
      <c r="A402" s="217"/>
      <c r="B402" s="218"/>
      <c r="C402" s="446"/>
      <c r="D402" s="218"/>
      <c r="E402" s="221"/>
      <c r="F402" s="448"/>
      <c r="G402" s="448"/>
      <c r="H402" s="222"/>
      <c r="I402" s="221">
        <f t="shared" si="3"/>
        <v>0</v>
      </c>
      <c r="J402" s="447"/>
    </row>
    <row r="403" spans="1:11" ht="15">
      <c r="A403" s="217"/>
      <c r="B403" s="218"/>
      <c r="C403" s="446"/>
      <c r="D403" s="218"/>
      <c r="E403" s="221"/>
      <c r="F403" s="448"/>
      <c r="G403" s="448"/>
      <c r="H403" s="222"/>
      <c r="I403" s="221">
        <f t="shared" si="3"/>
        <v>0</v>
      </c>
      <c r="J403" s="447"/>
    </row>
    <row r="404" spans="1:11" ht="15">
      <c r="A404" s="217"/>
      <c r="B404" s="218"/>
      <c r="C404" s="446"/>
      <c r="D404" s="218"/>
      <c r="E404" s="221"/>
      <c r="F404" s="448"/>
      <c r="G404" s="448"/>
      <c r="H404" s="222"/>
      <c r="I404" s="221">
        <f t="shared" si="3"/>
        <v>0</v>
      </c>
      <c r="J404" s="447"/>
    </row>
    <row r="405" spans="1:11" ht="15">
      <c r="A405" s="217"/>
      <c r="B405" s="218"/>
      <c r="C405" s="446"/>
      <c r="D405" s="218"/>
      <c r="E405" s="221"/>
      <c r="F405" s="448"/>
      <c r="G405" s="448"/>
      <c r="H405" s="222"/>
      <c r="I405" s="221">
        <f t="shared" si="3"/>
        <v>0</v>
      </c>
      <c r="J405" s="447"/>
    </row>
    <row r="406" spans="1:11" ht="15">
      <c r="A406" s="217"/>
      <c r="B406" s="218"/>
      <c r="C406" s="446"/>
      <c r="D406" s="218"/>
      <c r="E406" s="221"/>
      <c r="F406" s="448"/>
      <c r="G406" s="448"/>
      <c r="H406" s="222"/>
      <c r="I406" s="221">
        <f t="shared" si="3"/>
        <v>0</v>
      </c>
      <c r="J406" s="447"/>
    </row>
    <row r="407" spans="1:11" ht="15">
      <c r="A407" s="217"/>
      <c r="B407" s="218"/>
      <c r="C407" s="446"/>
      <c r="D407" s="218"/>
      <c r="E407" s="221"/>
      <c r="F407" s="448"/>
      <c r="G407" s="448"/>
      <c r="H407" s="222"/>
      <c r="I407" s="221">
        <f t="shared" si="3"/>
        <v>0</v>
      </c>
      <c r="J407" s="447"/>
    </row>
    <row r="408" spans="1:11">
      <c r="A408" s="217"/>
      <c r="B408" s="218"/>
      <c r="C408" s="446"/>
      <c r="D408" s="218"/>
      <c r="E408" s="221"/>
      <c r="F408" s="448"/>
      <c r="G408" s="448"/>
      <c r="H408" s="222"/>
      <c r="I408" s="221">
        <f t="shared" si="3"/>
        <v>0</v>
      </c>
      <c r="J408" s="218" t="s">
        <v>56</v>
      </c>
      <c r="K408" s="449">
        <f>SUM(E312:E411)</f>
        <v>0</v>
      </c>
    </row>
    <row r="409" spans="1:11">
      <c r="A409" s="217"/>
      <c r="B409" s="218"/>
      <c r="C409" s="446"/>
      <c r="D409" s="218"/>
      <c r="E409" s="221"/>
      <c r="F409" s="448"/>
      <c r="G409" s="448"/>
      <c r="H409" s="222"/>
      <c r="I409" s="221">
        <f t="shared" si="3"/>
        <v>0</v>
      </c>
      <c r="J409" s="218" t="s">
        <v>160</v>
      </c>
      <c r="K409" s="449">
        <f>SUM(F312:F411)</f>
        <v>0</v>
      </c>
    </row>
    <row r="410" spans="1:11">
      <c r="A410" s="217"/>
      <c r="B410" s="218"/>
      <c r="C410" s="446"/>
      <c r="D410" s="218"/>
      <c r="E410" s="221"/>
      <c r="F410" s="448"/>
      <c r="G410" s="448"/>
      <c r="H410" s="222"/>
      <c r="I410" s="221">
        <f t="shared" si="3"/>
        <v>0</v>
      </c>
      <c r="J410" s="218" t="s">
        <v>72</v>
      </c>
      <c r="K410" s="449">
        <f>SUM(G312:G411)</f>
        <v>0</v>
      </c>
    </row>
    <row r="411" spans="1:11">
      <c r="A411" s="217"/>
      <c r="B411" s="218"/>
      <c r="C411" s="446"/>
      <c r="D411" s="218"/>
      <c r="E411" s="221"/>
      <c r="F411" s="448"/>
      <c r="G411" s="448"/>
      <c r="H411" s="222"/>
      <c r="I411" s="221">
        <f t="shared" si="3"/>
        <v>0</v>
      </c>
      <c r="J411" s="218" t="s">
        <v>162</v>
      </c>
      <c r="K411" s="449">
        <f>SUM(H312:H411)</f>
        <v>0</v>
      </c>
    </row>
    <row r="412" spans="1:11">
      <c r="A412" s="218"/>
      <c r="B412" s="218"/>
      <c r="C412" s="218"/>
      <c r="D412" s="218"/>
      <c r="E412" s="218"/>
      <c r="F412" s="218"/>
      <c r="G412" s="218"/>
      <c r="H412" s="222"/>
      <c r="J412" s="452" t="s">
        <v>163</v>
      </c>
      <c r="K412" s="450">
        <f>SUM(K408:K411)</f>
        <v>0</v>
      </c>
    </row>
    <row r="413" spans="1:11" thickBot="1">
      <c r="A413" s="485" t="s">
        <v>23</v>
      </c>
      <c r="B413" s="486"/>
      <c r="C413" s="486"/>
      <c r="D413" s="486"/>
      <c r="E413" s="486"/>
      <c r="F413" s="486"/>
      <c r="G413" s="486"/>
      <c r="H413" s="486"/>
      <c r="I413" s="486"/>
      <c r="J413" s="486"/>
    </row>
    <row r="414" spans="1:11" ht="15">
      <c r="A414" s="217"/>
      <c r="B414" s="218"/>
      <c r="C414" s="446"/>
      <c r="D414" s="218"/>
      <c r="E414" s="221"/>
      <c r="F414" s="222"/>
      <c r="G414" s="221"/>
      <c r="H414" s="221"/>
      <c r="I414" s="221">
        <f t="shared" ref="I414:I513" si="4">SUM(E414:H414)</f>
        <v>0</v>
      </c>
      <c r="J414" s="447"/>
    </row>
    <row r="415" spans="1:11" ht="15">
      <c r="A415" s="217"/>
      <c r="B415" s="218"/>
      <c r="C415" s="446"/>
      <c r="D415" s="218"/>
      <c r="E415" s="222"/>
      <c r="F415" s="222"/>
      <c r="G415" s="221"/>
      <c r="H415" s="222"/>
      <c r="I415" s="221">
        <f t="shared" si="4"/>
        <v>0</v>
      </c>
      <c r="J415" s="447"/>
    </row>
    <row r="416" spans="1:11" ht="15">
      <c r="A416" s="217"/>
      <c r="B416" s="218"/>
      <c r="C416" s="446"/>
      <c r="D416" s="218"/>
      <c r="E416" s="221"/>
      <c r="F416" s="222"/>
      <c r="G416" s="221"/>
      <c r="H416" s="221"/>
      <c r="I416" s="221">
        <f t="shared" si="4"/>
        <v>0</v>
      </c>
      <c r="J416" s="447"/>
    </row>
    <row r="417" spans="1:10" ht="15">
      <c r="A417" s="217"/>
      <c r="B417" s="218"/>
      <c r="C417" s="446"/>
      <c r="D417" s="218"/>
      <c r="E417" s="221"/>
      <c r="F417" s="222"/>
      <c r="G417" s="221"/>
      <c r="H417" s="221"/>
      <c r="I417" s="221">
        <f t="shared" si="4"/>
        <v>0</v>
      </c>
      <c r="J417" s="447"/>
    </row>
    <row r="418" spans="1:10" ht="15">
      <c r="A418" s="217"/>
      <c r="B418" s="218"/>
      <c r="C418" s="446"/>
      <c r="D418" s="218"/>
      <c r="E418" s="222"/>
      <c r="F418" s="222"/>
      <c r="G418" s="221"/>
      <c r="H418" s="222"/>
      <c r="I418" s="221">
        <f t="shared" si="4"/>
        <v>0</v>
      </c>
      <c r="J418" s="447"/>
    </row>
    <row r="419" spans="1:10" ht="15">
      <c r="A419" s="217"/>
      <c r="B419" s="218"/>
      <c r="C419" s="446"/>
      <c r="D419" s="218"/>
      <c r="E419" s="221"/>
      <c r="F419" s="222"/>
      <c r="G419" s="221"/>
      <c r="H419" s="221"/>
      <c r="I419" s="221">
        <f t="shared" si="4"/>
        <v>0</v>
      </c>
      <c r="J419" s="447"/>
    </row>
    <row r="420" spans="1:10" ht="15">
      <c r="A420" s="217"/>
      <c r="B420" s="218"/>
      <c r="C420" s="446"/>
      <c r="D420" s="218"/>
      <c r="E420" s="221"/>
      <c r="F420" s="222"/>
      <c r="G420" s="221"/>
      <c r="H420" s="221"/>
      <c r="I420" s="221">
        <f t="shared" si="4"/>
        <v>0</v>
      </c>
      <c r="J420" s="447"/>
    </row>
    <row r="421" spans="1:10" ht="15">
      <c r="A421" s="217"/>
      <c r="B421" s="218"/>
      <c r="C421" s="446"/>
      <c r="D421" s="218"/>
      <c r="E421" s="221"/>
      <c r="F421" s="222"/>
      <c r="G421" s="221"/>
      <c r="H421" s="221"/>
      <c r="I421" s="221">
        <f t="shared" si="4"/>
        <v>0</v>
      </c>
      <c r="J421" s="447"/>
    </row>
    <row r="422" spans="1:10" ht="15">
      <c r="A422" s="217"/>
      <c r="B422" s="218"/>
      <c r="C422" s="446"/>
      <c r="D422" s="218"/>
      <c r="E422" s="222"/>
      <c r="F422" s="222"/>
      <c r="G422" s="221"/>
      <c r="H422" s="222"/>
      <c r="I422" s="221">
        <f t="shared" si="4"/>
        <v>0</v>
      </c>
      <c r="J422" s="447"/>
    </row>
    <row r="423" spans="1:10" ht="15">
      <c r="A423" s="217"/>
      <c r="B423" s="218"/>
      <c r="C423" s="446"/>
      <c r="D423" s="218"/>
      <c r="E423" s="222"/>
      <c r="F423" s="222"/>
      <c r="G423" s="221"/>
      <c r="H423" s="222"/>
      <c r="I423" s="221">
        <f t="shared" si="4"/>
        <v>0</v>
      </c>
      <c r="J423" s="447"/>
    </row>
    <row r="424" spans="1:10" ht="15">
      <c r="A424" s="217"/>
      <c r="B424" s="218"/>
      <c r="C424" s="446"/>
      <c r="D424" s="218"/>
      <c r="E424" s="221"/>
      <c r="F424" s="222"/>
      <c r="G424" s="221"/>
      <c r="H424" s="221"/>
      <c r="I424" s="221">
        <f t="shared" si="4"/>
        <v>0</v>
      </c>
      <c r="J424" s="447"/>
    </row>
    <row r="425" spans="1:10" ht="15">
      <c r="A425" s="217"/>
      <c r="B425" s="218"/>
      <c r="C425" s="446"/>
      <c r="D425" s="218"/>
      <c r="E425" s="221"/>
      <c r="F425" s="222"/>
      <c r="G425" s="221"/>
      <c r="H425" s="221"/>
      <c r="I425" s="221">
        <f t="shared" si="4"/>
        <v>0</v>
      </c>
      <c r="J425" s="447"/>
    </row>
    <row r="426" spans="1:10" ht="15">
      <c r="A426" s="217"/>
      <c r="B426" s="218"/>
      <c r="C426" s="446"/>
      <c r="D426" s="218"/>
      <c r="E426" s="221"/>
      <c r="F426" s="222"/>
      <c r="G426" s="221"/>
      <c r="H426" s="221"/>
      <c r="I426" s="221">
        <f t="shared" si="4"/>
        <v>0</v>
      </c>
      <c r="J426" s="447"/>
    </row>
    <row r="427" spans="1:10" ht="15">
      <c r="A427" s="217"/>
      <c r="B427" s="218"/>
      <c r="C427" s="446"/>
      <c r="D427" s="218"/>
      <c r="E427" s="222"/>
      <c r="F427" s="222"/>
      <c r="G427" s="221"/>
      <c r="H427" s="222"/>
      <c r="I427" s="221">
        <f t="shared" si="4"/>
        <v>0</v>
      </c>
      <c r="J427" s="447"/>
    </row>
    <row r="428" spans="1:10" ht="15">
      <c r="A428" s="217"/>
      <c r="B428" s="218"/>
      <c r="C428" s="446"/>
      <c r="D428" s="218"/>
      <c r="E428" s="222"/>
      <c r="F428" s="222"/>
      <c r="G428" s="221"/>
      <c r="H428" s="222"/>
      <c r="I428" s="221">
        <f t="shared" si="4"/>
        <v>0</v>
      </c>
      <c r="J428" s="447"/>
    </row>
    <row r="429" spans="1:10" ht="15">
      <c r="A429" s="217"/>
      <c r="B429" s="218"/>
      <c r="C429" s="446"/>
      <c r="D429" s="218"/>
      <c r="E429" s="222"/>
      <c r="F429" s="222"/>
      <c r="G429" s="221"/>
      <c r="H429" s="222"/>
      <c r="I429" s="221">
        <f t="shared" si="4"/>
        <v>0</v>
      </c>
      <c r="J429" s="447"/>
    </row>
    <row r="430" spans="1:10" ht="15">
      <c r="A430" s="217"/>
      <c r="B430" s="218"/>
      <c r="C430" s="446"/>
      <c r="D430" s="218"/>
      <c r="E430" s="222"/>
      <c r="F430" s="222"/>
      <c r="G430" s="221"/>
      <c r="H430" s="222"/>
      <c r="I430" s="221">
        <f t="shared" si="4"/>
        <v>0</v>
      </c>
      <c r="J430" s="447"/>
    </row>
    <row r="431" spans="1:10" ht="15">
      <c r="A431" s="217"/>
      <c r="B431" s="218"/>
      <c r="C431" s="446"/>
      <c r="D431" s="218"/>
      <c r="E431" s="222"/>
      <c r="F431" s="222"/>
      <c r="G431" s="221"/>
      <c r="H431" s="222"/>
      <c r="I431" s="221">
        <f t="shared" si="4"/>
        <v>0</v>
      </c>
      <c r="J431" s="447"/>
    </row>
    <row r="432" spans="1:10" ht="15">
      <c r="A432" s="217"/>
      <c r="B432" s="218"/>
      <c r="C432" s="446"/>
      <c r="D432" s="218"/>
      <c r="E432" s="222"/>
      <c r="F432" s="222"/>
      <c r="G432" s="221"/>
      <c r="H432" s="222"/>
      <c r="I432" s="221">
        <f t="shared" si="4"/>
        <v>0</v>
      </c>
      <c r="J432" s="447"/>
    </row>
    <row r="433" spans="1:10" ht="15">
      <c r="A433" s="217"/>
      <c r="B433" s="218"/>
      <c r="C433" s="446"/>
      <c r="D433" s="218"/>
      <c r="E433" s="222"/>
      <c r="F433" s="222"/>
      <c r="G433" s="221"/>
      <c r="H433" s="222"/>
      <c r="I433" s="221">
        <f t="shared" si="4"/>
        <v>0</v>
      </c>
      <c r="J433" s="447"/>
    </row>
    <row r="434" spans="1:10" ht="15">
      <c r="A434" s="217"/>
      <c r="B434" s="218"/>
      <c r="C434" s="446"/>
      <c r="D434" s="218"/>
      <c r="E434" s="221"/>
      <c r="F434" s="224"/>
      <c r="G434" s="224"/>
      <c r="H434" s="222"/>
      <c r="I434" s="221">
        <f t="shared" si="4"/>
        <v>0</v>
      </c>
      <c r="J434" s="447"/>
    </row>
    <row r="435" spans="1:10" ht="15">
      <c r="A435" s="217"/>
      <c r="B435" s="218"/>
      <c r="C435" s="446"/>
      <c r="D435" s="226"/>
      <c r="E435" s="221"/>
      <c r="F435" s="224"/>
      <c r="G435" s="224"/>
      <c r="H435" s="222"/>
      <c r="I435" s="221">
        <f t="shared" si="4"/>
        <v>0</v>
      </c>
      <c r="J435" s="447"/>
    </row>
    <row r="436" spans="1:10" ht="15">
      <c r="A436" s="217"/>
      <c r="B436" s="218"/>
      <c r="C436" s="446"/>
      <c r="D436" s="218"/>
      <c r="E436" s="221"/>
      <c r="F436" s="224"/>
      <c r="G436" s="224"/>
      <c r="H436" s="222"/>
      <c r="I436" s="221">
        <f t="shared" si="4"/>
        <v>0</v>
      </c>
      <c r="J436" s="447"/>
    </row>
    <row r="437" spans="1:10" ht="15">
      <c r="A437" s="217"/>
      <c r="B437" s="218"/>
      <c r="C437" s="446"/>
      <c r="D437" s="218"/>
      <c r="E437" s="221"/>
      <c r="F437" s="224"/>
      <c r="G437" s="224"/>
      <c r="H437" s="222"/>
      <c r="I437" s="221">
        <f t="shared" si="4"/>
        <v>0</v>
      </c>
      <c r="J437" s="447"/>
    </row>
    <row r="438" spans="1:10" ht="15">
      <c r="A438" s="217"/>
      <c r="B438" s="218"/>
      <c r="C438" s="446"/>
      <c r="D438" s="218"/>
      <c r="E438" s="221"/>
      <c r="F438" s="224"/>
      <c r="G438" s="224"/>
      <c r="H438" s="222"/>
      <c r="I438" s="221">
        <f t="shared" si="4"/>
        <v>0</v>
      </c>
      <c r="J438" s="447"/>
    </row>
    <row r="439" spans="1:10" ht="15">
      <c r="A439" s="217"/>
      <c r="B439" s="218"/>
      <c r="C439" s="446"/>
      <c r="D439" s="218"/>
      <c r="E439" s="221"/>
      <c r="F439" s="224"/>
      <c r="G439" s="224"/>
      <c r="H439" s="222"/>
      <c r="I439" s="221">
        <f t="shared" si="4"/>
        <v>0</v>
      </c>
      <c r="J439" s="447"/>
    </row>
    <row r="440" spans="1:10" ht="15">
      <c r="A440" s="217"/>
      <c r="B440" s="218"/>
      <c r="C440" s="446"/>
      <c r="D440" s="218"/>
      <c r="E440" s="221"/>
      <c r="F440" s="224"/>
      <c r="G440" s="224"/>
      <c r="H440" s="222"/>
      <c r="I440" s="221">
        <f t="shared" si="4"/>
        <v>0</v>
      </c>
      <c r="J440" s="447"/>
    </row>
    <row r="441" spans="1:10" ht="15">
      <c r="A441" s="217"/>
      <c r="B441" s="218"/>
      <c r="C441" s="446"/>
      <c r="D441" s="218"/>
      <c r="E441" s="221"/>
      <c r="F441" s="224"/>
      <c r="G441" s="224"/>
      <c r="H441" s="222"/>
      <c r="I441" s="221">
        <f t="shared" si="4"/>
        <v>0</v>
      </c>
      <c r="J441" s="447"/>
    </row>
    <row r="442" spans="1:10" ht="15">
      <c r="A442" s="217"/>
      <c r="B442" s="218"/>
      <c r="C442" s="446"/>
      <c r="D442" s="218"/>
      <c r="E442" s="221"/>
      <c r="F442" s="224"/>
      <c r="G442" s="224"/>
      <c r="H442" s="222"/>
      <c r="I442" s="221">
        <f t="shared" si="4"/>
        <v>0</v>
      </c>
      <c r="J442" s="447"/>
    </row>
    <row r="443" spans="1:10" ht="15">
      <c r="A443" s="217"/>
      <c r="B443" s="218"/>
      <c r="C443" s="446"/>
      <c r="D443" s="218"/>
      <c r="E443" s="221"/>
      <c r="F443" s="224"/>
      <c r="G443" s="224"/>
      <c r="H443" s="222"/>
      <c r="I443" s="221">
        <f t="shared" si="4"/>
        <v>0</v>
      </c>
      <c r="J443" s="447"/>
    </row>
    <row r="444" spans="1:10" ht="15">
      <c r="A444" s="217"/>
      <c r="B444" s="218"/>
      <c r="C444" s="446"/>
      <c r="D444" s="218"/>
      <c r="E444" s="221"/>
      <c r="F444" s="224"/>
      <c r="G444" s="224"/>
      <c r="H444" s="222"/>
      <c r="I444" s="221">
        <f t="shared" si="4"/>
        <v>0</v>
      </c>
      <c r="J444" s="447"/>
    </row>
    <row r="445" spans="1:10" ht="15">
      <c r="A445" s="217"/>
      <c r="B445" s="218"/>
      <c r="C445" s="446"/>
      <c r="D445" s="218"/>
      <c r="E445" s="221"/>
      <c r="F445" s="224"/>
      <c r="G445" s="224"/>
      <c r="H445" s="222"/>
      <c r="I445" s="221">
        <f t="shared" si="4"/>
        <v>0</v>
      </c>
      <c r="J445" s="447"/>
    </row>
    <row r="446" spans="1:10" ht="15">
      <c r="A446" s="217"/>
      <c r="B446" s="218"/>
      <c r="C446" s="446"/>
      <c r="D446" s="218"/>
      <c r="E446" s="221"/>
      <c r="F446" s="224"/>
      <c r="G446" s="224"/>
      <c r="H446" s="222"/>
      <c r="I446" s="221">
        <f t="shared" si="4"/>
        <v>0</v>
      </c>
      <c r="J446" s="447"/>
    </row>
    <row r="447" spans="1:10" ht="15">
      <c r="A447" s="217"/>
      <c r="B447" s="218"/>
      <c r="C447" s="446"/>
      <c r="D447" s="218"/>
      <c r="E447" s="221"/>
      <c r="F447" s="224"/>
      <c r="G447" s="224"/>
      <c r="H447" s="222"/>
      <c r="I447" s="221">
        <f t="shared" si="4"/>
        <v>0</v>
      </c>
      <c r="J447" s="447"/>
    </row>
    <row r="448" spans="1:10" ht="15">
      <c r="A448" s="217"/>
      <c r="B448" s="218"/>
      <c r="C448" s="446"/>
      <c r="D448" s="218"/>
      <c r="E448" s="221"/>
      <c r="F448" s="224"/>
      <c r="G448" s="224"/>
      <c r="H448" s="222"/>
      <c r="I448" s="221">
        <f t="shared" si="4"/>
        <v>0</v>
      </c>
      <c r="J448" s="447"/>
    </row>
    <row r="449" spans="1:10" ht="15">
      <c r="A449" s="217"/>
      <c r="B449" s="218"/>
      <c r="C449" s="446"/>
      <c r="D449" s="218"/>
      <c r="E449" s="221"/>
      <c r="F449" s="224"/>
      <c r="G449" s="224"/>
      <c r="H449" s="222"/>
      <c r="I449" s="221">
        <f t="shared" si="4"/>
        <v>0</v>
      </c>
      <c r="J449" s="447"/>
    </row>
    <row r="450" spans="1:10" ht="15">
      <c r="A450" s="217"/>
      <c r="B450" s="218"/>
      <c r="C450" s="446"/>
      <c r="D450" s="218"/>
      <c r="E450" s="221"/>
      <c r="F450" s="224"/>
      <c r="G450" s="224"/>
      <c r="H450" s="222"/>
      <c r="I450" s="221">
        <f t="shared" si="4"/>
        <v>0</v>
      </c>
      <c r="J450" s="447"/>
    </row>
    <row r="451" spans="1:10" ht="15">
      <c r="A451" s="217"/>
      <c r="B451" s="218"/>
      <c r="C451" s="446"/>
      <c r="D451" s="218"/>
      <c r="E451" s="221"/>
      <c r="F451" s="224"/>
      <c r="G451" s="224"/>
      <c r="H451" s="222"/>
      <c r="I451" s="221">
        <f t="shared" si="4"/>
        <v>0</v>
      </c>
      <c r="J451" s="447"/>
    </row>
    <row r="452" spans="1:10" ht="15">
      <c r="A452" s="217"/>
      <c r="B452" s="218"/>
      <c r="C452" s="446"/>
      <c r="D452" s="226"/>
      <c r="E452" s="221"/>
      <c r="F452" s="224"/>
      <c r="G452" s="224"/>
      <c r="H452" s="222"/>
      <c r="I452" s="221">
        <f t="shared" si="4"/>
        <v>0</v>
      </c>
      <c r="J452" s="447"/>
    </row>
    <row r="453" spans="1:10" ht="15">
      <c r="A453" s="217"/>
      <c r="B453" s="218"/>
      <c r="C453" s="446"/>
      <c r="D453" s="218"/>
      <c r="E453" s="221"/>
      <c r="F453" s="224"/>
      <c r="G453" s="224"/>
      <c r="H453" s="222"/>
      <c r="I453" s="221">
        <f t="shared" si="4"/>
        <v>0</v>
      </c>
      <c r="J453" s="447"/>
    </row>
    <row r="454" spans="1:10" ht="15">
      <c r="A454" s="217"/>
      <c r="B454" s="218"/>
      <c r="C454" s="446"/>
      <c r="D454" s="218"/>
      <c r="E454" s="221"/>
      <c r="F454" s="224"/>
      <c r="G454" s="224"/>
      <c r="H454" s="222"/>
      <c r="I454" s="221">
        <f t="shared" si="4"/>
        <v>0</v>
      </c>
      <c r="J454" s="447"/>
    </row>
    <row r="455" spans="1:10" ht="15">
      <c r="A455" s="217"/>
      <c r="B455" s="218"/>
      <c r="C455" s="446"/>
      <c r="D455" s="218"/>
      <c r="E455" s="221"/>
      <c r="F455" s="224"/>
      <c r="G455" s="224"/>
      <c r="H455" s="222"/>
      <c r="I455" s="221">
        <f t="shared" si="4"/>
        <v>0</v>
      </c>
      <c r="J455" s="447"/>
    </row>
    <row r="456" spans="1:10" ht="15">
      <c r="A456" s="217"/>
      <c r="B456" s="218"/>
      <c r="C456" s="446"/>
      <c r="D456" s="218"/>
      <c r="E456" s="221"/>
      <c r="F456" s="224"/>
      <c r="G456" s="224"/>
      <c r="H456" s="222"/>
      <c r="I456" s="221">
        <f t="shared" si="4"/>
        <v>0</v>
      </c>
      <c r="J456" s="447"/>
    </row>
    <row r="457" spans="1:10" ht="15">
      <c r="A457" s="217"/>
      <c r="B457" s="218"/>
      <c r="C457" s="446"/>
      <c r="D457" s="218"/>
      <c r="E457" s="221"/>
      <c r="F457" s="224"/>
      <c r="G457" s="224"/>
      <c r="H457" s="222"/>
      <c r="I457" s="221">
        <f t="shared" si="4"/>
        <v>0</v>
      </c>
      <c r="J457" s="447"/>
    </row>
    <row r="458" spans="1:10" ht="15">
      <c r="A458" s="217"/>
      <c r="B458" s="218"/>
      <c r="C458" s="446"/>
      <c r="D458" s="218"/>
      <c r="E458" s="221"/>
      <c r="F458" s="224"/>
      <c r="G458" s="224"/>
      <c r="H458" s="222"/>
      <c r="I458" s="221">
        <f t="shared" si="4"/>
        <v>0</v>
      </c>
      <c r="J458" s="447"/>
    </row>
    <row r="459" spans="1:10" ht="15">
      <c r="A459" s="217"/>
      <c r="B459" s="218"/>
      <c r="C459" s="446"/>
      <c r="D459" s="218"/>
      <c r="E459" s="221"/>
      <c r="F459" s="224"/>
      <c r="G459" s="224"/>
      <c r="H459" s="222"/>
      <c r="I459" s="221">
        <f t="shared" si="4"/>
        <v>0</v>
      </c>
      <c r="J459" s="447"/>
    </row>
    <row r="460" spans="1:10" ht="15">
      <c r="A460" s="217"/>
      <c r="B460" s="218"/>
      <c r="C460" s="446"/>
      <c r="D460" s="218"/>
      <c r="E460" s="221"/>
      <c r="F460" s="448"/>
      <c r="G460" s="448"/>
      <c r="H460" s="222"/>
      <c r="I460" s="221">
        <f t="shared" si="4"/>
        <v>0</v>
      </c>
      <c r="J460" s="447"/>
    </row>
    <row r="461" spans="1:10" ht="15">
      <c r="A461" s="217"/>
      <c r="B461" s="218"/>
      <c r="C461" s="446"/>
      <c r="D461" s="218"/>
      <c r="E461" s="221"/>
      <c r="F461" s="448"/>
      <c r="G461" s="448"/>
      <c r="H461" s="222"/>
      <c r="I461" s="221">
        <f t="shared" si="4"/>
        <v>0</v>
      </c>
      <c r="J461" s="447"/>
    </row>
    <row r="462" spans="1:10" ht="15">
      <c r="A462" s="217"/>
      <c r="B462" s="218"/>
      <c r="C462" s="446"/>
      <c r="D462" s="218"/>
      <c r="E462" s="221"/>
      <c r="F462" s="448"/>
      <c r="G462" s="448"/>
      <c r="H462" s="222"/>
      <c r="I462" s="221">
        <f t="shared" si="4"/>
        <v>0</v>
      </c>
      <c r="J462" s="447"/>
    </row>
    <row r="463" spans="1:10" ht="15">
      <c r="A463" s="217"/>
      <c r="B463" s="218"/>
      <c r="C463" s="446"/>
      <c r="D463" s="218"/>
      <c r="E463" s="221"/>
      <c r="F463" s="448"/>
      <c r="G463" s="448"/>
      <c r="H463" s="222"/>
      <c r="I463" s="221">
        <f t="shared" si="4"/>
        <v>0</v>
      </c>
      <c r="J463" s="447"/>
    </row>
    <row r="464" spans="1:10" ht="15">
      <c r="A464" s="217"/>
      <c r="B464" s="218"/>
      <c r="C464" s="446"/>
      <c r="D464" s="218"/>
      <c r="E464" s="221"/>
      <c r="F464" s="448"/>
      <c r="G464" s="448"/>
      <c r="H464" s="222"/>
      <c r="I464" s="221">
        <f t="shared" si="4"/>
        <v>0</v>
      </c>
      <c r="J464" s="447"/>
    </row>
    <row r="465" spans="1:10" ht="15">
      <c r="A465" s="217"/>
      <c r="B465" s="218"/>
      <c r="C465" s="446"/>
      <c r="D465" s="218"/>
      <c r="E465" s="221"/>
      <c r="F465" s="448"/>
      <c r="G465" s="448"/>
      <c r="H465" s="222"/>
      <c r="I465" s="221">
        <f t="shared" si="4"/>
        <v>0</v>
      </c>
      <c r="J465" s="447"/>
    </row>
    <row r="466" spans="1:10" ht="15">
      <c r="A466" s="217"/>
      <c r="B466" s="218"/>
      <c r="C466" s="446"/>
      <c r="D466" s="218"/>
      <c r="E466" s="221"/>
      <c r="F466" s="448"/>
      <c r="G466" s="448"/>
      <c r="H466" s="222"/>
      <c r="I466" s="221">
        <f t="shared" si="4"/>
        <v>0</v>
      </c>
      <c r="J466" s="447"/>
    </row>
    <row r="467" spans="1:10" ht="15">
      <c r="A467" s="217"/>
      <c r="B467" s="218"/>
      <c r="C467" s="446"/>
      <c r="D467" s="218"/>
      <c r="E467" s="221"/>
      <c r="F467" s="448"/>
      <c r="G467" s="448"/>
      <c r="H467" s="222"/>
      <c r="I467" s="221">
        <f t="shared" si="4"/>
        <v>0</v>
      </c>
      <c r="J467" s="447"/>
    </row>
    <row r="468" spans="1:10" ht="15">
      <c r="A468" s="217"/>
      <c r="B468" s="218"/>
      <c r="C468" s="446"/>
      <c r="D468" s="218"/>
      <c r="E468" s="221"/>
      <c r="F468" s="448"/>
      <c r="G468" s="448"/>
      <c r="H468" s="222"/>
      <c r="I468" s="221">
        <f t="shared" si="4"/>
        <v>0</v>
      </c>
      <c r="J468" s="447"/>
    </row>
    <row r="469" spans="1:10" ht="15">
      <c r="A469" s="217"/>
      <c r="B469" s="218"/>
      <c r="C469" s="446"/>
      <c r="D469" s="218"/>
      <c r="E469" s="221"/>
      <c r="F469" s="448"/>
      <c r="G469" s="448"/>
      <c r="H469" s="222"/>
      <c r="I469" s="221">
        <f t="shared" si="4"/>
        <v>0</v>
      </c>
      <c r="J469" s="447"/>
    </row>
    <row r="470" spans="1:10" ht="15">
      <c r="A470" s="217"/>
      <c r="B470" s="218"/>
      <c r="C470" s="446"/>
      <c r="D470" s="218"/>
      <c r="E470" s="221"/>
      <c r="F470" s="448"/>
      <c r="G470" s="448"/>
      <c r="H470" s="222"/>
      <c r="I470" s="221">
        <f t="shared" si="4"/>
        <v>0</v>
      </c>
      <c r="J470" s="447"/>
    </row>
    <row r="471" spans="1:10" ht="15">
      <c r="A471" s="217"/>
      <c r="B471" s="218"/>
      <c r="C471" s="446"/>
      <c r="D471" s="218"/>
      <c r="E471" s="221"/>
      <c r="F471" s="448"/>
      <c r="G471" s="448"/>
      <c r="H471" s="222"/>
      <c r="I471" s="221">
        <f t="shared" si="4"/>
        <v>0</v>
      </c>
      <c r="J471" s="447"/>
    </row>
    <row r="472" spans="1:10" ht="15">
      <c r="A472" s="217"/>
      <c r="B472" s="218"/>
      <c r="C472" s="446"/>
      <c r="D472" s="218"/>
      <c r="E472" s="221"/>
      <c r="F472" s="448"/>
      <c r="G472" s="448"/>
      <c r="H472" s="222"/>
      <c r="I472" s="221">
        <f t="shared" si="4"/>
        <v>0</v>
      </c>
      <c r="J472" s="447"/>
    </row>
    <row r="473" spans="1:10" ht="15">
      <c r="A473" s="217"/>
      <c r="B473" s="218"/>
      <c r="C473" s="446"/>
      <c r="D473" s="218"/>
      <c r="E473" s="221"/>
      <c r="F473" s="448"/>
      <c r="G473" s="448"/>
      <c r="H473" s="222"/>
      <c r="I473" s="221">
        <f t="shared" si="4"/>
        <v>0</v>
      </c>
      <c r="J473" s="447"/>
    </row>
    <row r="474" spans="1:10" ht="15">
      <c r="A474" s="217"/>
      <c r="B474" s="218"/>
      <c r="C474" s="446"/>
      <c r="D474" s="218"/>
      <c r="E474" s="221"/>
      <c r="F474" s="448"/>
      <c r="G474" s="448"/>
      <c r="H474" s="222"/>
      <c r="I474" s="221">
        <f t="shared" si="4"/>
        <v>0</v>
      </c>
      <c r="J474" s="447"/>
    </row>
    <row r="475" spans="1:10" ht="15">
      <c r="A475" s="217"/>
      <c r="B475" s="218"/>
      <c r="C475" s="446"/>
      <c r="D475" s="218"/>
      <c r="E475" s="221"/>
      <c r="F475" s="448"/>
      <c r="G475" s="448"/>
      <c r="H475" s="222"/>
      <c r="I475" s="221">
        <f t="shared" si="4"/>
        <v>0</v>
      </c>
      <c r="J475" s="447"/>
    </row>
    <row r="476" spans="1:10" ht="15">
      <c r="A476" s="217"/>
      <c r="B476" s="218"/>
      <c r="C476" s="446"/>
      <c r="D476" s="218"/>
      <c r="E476" s="221"/>
      <c r="F476" s="448"/>
      <c r="G476" s="448"/>
      <c r="H476" s="222"/>
      <c r="I476" s="221">
        <f t="shared" si="4"/>
        <v>0</v>
      </c>
      <c r="J476" s="447"/>
    </row>
    <row r="477" spans="1:10" ht="15">
      <c r="A477" s="217"/>
      <c r="B477" s="218"/>
      <c r="C477" s="446"/>
      <c r="D477" s="218"/>
      <c r="E477" s="221"/>
      <c r="F477" s="448"/>
      <c r="G477" s="448"/>
      <c r="H477" s="222"/>
      <c r="I477" s="221">
        <f t="shared" si="4"/>
        <v>0</v>
      </c>
      <c r="J477" s="447"/>
    </row>
    <row r="478" spans="1:10" ht="15">
      <c r="A478" s="217"/>
      <c r="B478" s="218"/>
      <c r="C478" s="446"/>
      <c r="D478" s="218"/>
      <c r="E478" s="221"/>
      <c r="F478" s="448"/>
      <c r="G478" s="448"/>
      <c r="H478" s="222"/>
      <c r="I478" s="221">
        <f t="shared" si="4"/>
        <v>0</v>
      </c>
      <c r="J478" s="447"/>
    </row>
    <row r="479" spans="1:10" ht="15">
      <c r="A479" s="217"/>
      <c r="B479" s="218"/>
      <c r="C479" s="446"/>
      <c r="D479" s="218"/>
      <c r="E479" s="221"/>
      <c r="F479" s="448"/>
      <c r="G479" s="448"/>
      <c r="H479" s="222"/>
      <c r="I479" s="221">
        <f t="shared" si="4"/>
        <v>0</v>
      </c>
      <c r="J479" s="447"/>
    </row>
    <row r="480" spans="1:10" ht="15">
      <c r="A480" s="217"/>
      <c r="B480" s="218"/>
      <c r="C480" s="446"/>
      <c r="D480" s="218"/>
      <c r="E480" s="221"/>
      <c r="F480" s="448"/>
      <c r="G480" s="448"/>
      <c r="H480" s="222"/>
      <c r="I480" s="221">
        <f t="shared" si="4"/>
        <v>0</v>
      </c>
      <c r="J480" s="447"/>
    </row>
    <row r="481" spans="1:10" ht="15">
      <c r="A481" s="217"/>
      <c r="B481" s="218"/>
      <c r="C481" s="446"/>
      <c r="D481" s="218"/>
      <c r="E481" s="221"/>
      <c r="F481" s="448"/>
      <c r="G481" s="448"/>
      <c r="H481" s="222"/>
      <c r="I481" s="221">
        <f t="shared" si="4"/>
        <v>0</v>
      </c>
      <c r="J481" s="447"/>
    </row>
    <row r="482" spans="1:10" ht="15">
      <c r="A482" s="217"/>
      <c r="B482" s="218"/>
      <c r="C482" s="446"/>
      <c r="D482" s="218"/>
      <c r="E482" s="221"/>
      <c r="F482" s="448"/>
      <c r="G482" s="448"/>
      <c r="H482" s="222"/>
      <c r="I482" s="221">
        <f t="shared" si="4"/>
        <v>0</v>
      </c>
      <c r="J482" s="447"/>
    </row>
    <row r="483" spans="1:10" ht="15">
      <c r="A483" s="217"/>
      <c r="B483" s="218"/>
      <c r="C483" s="446"/>
      <c r="D483" s="218"/>
      <c r="E483" s="221"/>
      <c r="F483" s="448"/>
      <c r="G483" s="448"/>
      <c r="H483" s="222"/>
      <c r="I483" s="221">
        <f t="shared" si="4"/>
        <v>0</v>
      </c>
      <c r="J483" s="447"/>
    </row>
    <row r="484" spans="1:10" ht="15">
      <c r="A484" s="217"/>
      <c r="B484" s="218"/>
      <c r="C484" s="446"/>
      <c r="D484" s="218"/>
      <c r="E484" s="221"/>
      <c r="F484" s="448"/>
      <c r="G484" s="448"/>
      <c r="H484" s="222"/>
      <c r="I484" s="221">
        <f t="shared" si="4"/>
        <v>0</v>
      </c>
      <c r="J484" s="447"/>
    </row>
    <row r="485" spans="1:10" ht="15">
      <c r="A485" s="217"/>
      <c r="B485" s="218"/>
      <c r="C485" s="446"/>
      <c r="D485" s="218"/>
      <c r="E485" s="221"/>
      <c r="F485" s="448"/>
      <c r="G485" s="448"/>
      <c r="H485" s="222"/>
      <c r="I485" s="221">
        <f t="shared" si="4"/>
        <v>0</v>
      </c>
      <c r="J485" s="447"/>
    </row>
    <row r="486" spans="1:10" ht="15">
      <c r="A486" s="217"/>
      <c r="B486" s="218"/>
      <c r="C486" s="446"/>
      <c r="D486" s="218"/>
      <c r="E486" s="221"/>
      <c r="F486" s="448"/>
      <c r="G486" s="448"/>
      <c r="H486" s="222"/>
      <c r="I486" s="221">
        <f t="shared" si="4"/>
        <v>0</v>
      </c>
      <c r="J486" s="447"/>
    </row>
    <row r="487" spans="1:10" ht="15">
      <c r="A487" s="217"/>
      <c r="B487" s="218"/>
      <c r="C487" s="446"/>
      <c r="D487" s="218"/>
      <c r="E487" s="221"/>
      <c r="F487" s="448"/>
      <c r="G487" s="448"/>
      <c r="H487" s="222"/>
      <c r="I487" s="221">
        <f t="shared" si="4"/>
        <v>0</v>
      </c>
      <c r="J487" s="447"/>
    </row>
    <row r="488" spans="1:10" ht="15">
      <c r="A488" s="217"/>
      <c r="B488" s="218"/>
      <c r="C488" s="446"/>
      <c r="D488" s="218"/>
      <c r="E488" s="221"/>
      <c r="F488" s="448"/>
      <c r="G488" s="448"/>
      <c r="H488" s="222"/>
      <c r="I488" s="221">
        <f t="shared" si="4"/>
        <v>0</v>
      </c>
      <c r="J488" s="447"/>
    </row>
    <row r="489" spans="1:10" ht="15">
      <c r="A489" s="217"/>
      <c r="B489" s="218"/>
      <c r="C489" s="446"/>
      <c r="D489" s="218"/>
      <c r="E489" s="221"/>
      <c r="F489" s="448"/>
      <c r="G489" s="448"/>
      <c r="H489" s="222"/>
      <c r="I489" s="221">
        <f t="shared" si="4"/>
        <v>0</v>
      </c>
      <c r="J489" s="447"/>
    </row>
    <row r="490" spans="1:10" ht="15">
      <c r="A490" s="217"/>
      <c r="B490" s="218"/>
      <c r="C490" s="446"/>
      <c r="D490" s="218"/>
      <c r="E490" s="221"/>
      <c r="F490" s="448"/>
      <c r="G490" s="448"/>
      <c r="H490" s="222"/>
      <c r="I490" s="221">
        <f t="shared" si="4"/>
        <v>0</v>
      </c>
      <c r="J490" s="447"/>
    </row>
    <row r="491" spans="1:10" ht="15">
      <c r="A491" s="217"/>
      <c r="B491" s="218"/>
      <c r="C491" s="446"/>
      <c r="D491" s="218"/>
      <c r="E491" s="221"/>
      <c r="F491" s="448"/>
      <c r="G491" s="448"/>
      <c r="H491" s="222"/>
      <c r="I491" s="221">
        <f t="shared" si="4"/>
        <v>0</v>
      </c>
      <c r="J491" s="447"/>
    </row>
    <row r="492" spans="1:10" ht="15">
      <c r="A492" s="217"/>
      <c r="B492" s="218"/>
      <c r="C492" s="446"/>
      <c r="D492" s="218"/>
      <c r="E492" s="221"/>
      <c r="F492" s="448"/>
      <c r="G492" s="448"/>
      <c r="H492" s="222"/>
      <c r="I492" s="221">
        <f t="shared" si="4"/>
        <v>0</v>
      </c>
      <c r="J492" s="447"/>
    </row>
    <row r="493" spans="1:10" ht="15">
      <c r="A493" s="217"/>
      <c r="B493" s="218"/>
      <c r="C493" s="446"/>
      <c r="D493" s="218"/>
      <c r="E493" s="221"/>
      <c r="F493" s="448"/>
      <c r="G493" s="448"/>
      <c r="H493" s="222"/>
      <c r="I493" s="221">
        <f t="shared" si="4"/>
        <v>0</v>
      </c>
      <c r="J493" s="447"/>
    </row>
    <row r="494" spans="1:10" ht="15">
      <c r="A494" s="217"/>
      <c r="B494" s="218"/>
      <c r="C494" s="446"/>
      <c r="D494" s="218"/>
      <c r="E494" s="221"/>
      <c r="F494" s="448"/>
      <c r="G494" s="448"/>
      <c r="H494" s="222"/>
      <c r="I494" s="221">
        <f t="shared" si="4"/>
        <v>0</v>
      </c>
      <c r="J494" s="447"/>
    </row>
    <row r="495" spans="1:10" ht="15">
      <c r="A495" s="217"/>
      <c r="B495" s="218"/>
      <c r="C495" s="446"/>
      <c r="D495" s="218"/>
      <c r="E495" s="221"/>
      <c r="F495" s="448"/>
      <c r="G495" s="448"/>
      <c r="H495" s="222"/>
      <c r="I495" s="221">
        <f t="shared" si="4"/>
        <v>0</v>
      </c>
      <c r="J495" s="447"/>
    </row>
    <row r="496" spans="1:10" ht="15">
      <c r="A496" s="217"/>
      <c r="B496" s="218"/>
      <c r="C496" s="446"/>
      <c r="D496" s="218"/>
      <c r="E496" s="221"/>
      <c r="F496" s="448"/>
      <c r="G496" s="448"/>
      <c r="H496" s="222"/>
      <c r="I496" s="221">
        <f t="shared" si="4"/>
        <v>0</v>
      </c>
      <c r="J496" s="447"/>
    </row>
    <row r="497" spans="1:11" ht="15">
      <c r="A497" s="217"/>
      <c r="B497" s="218"/>
      <c r="C497" s="446"/>
      <c r="D497" s="218"/>
      <c r="E497" s="221"/>
      <c r="F497" s="448"/>
      <c r="G497" s="448"/>
      <c r="H497" s="222"/>
      <c r="I497" s="221">
        <f t="shared" si="4"/>
        <v>0</v>
      </c>
      <c r="J497" s="447"/>
    </row>
    <row r="498" spans="1:11" ht="15">
      <c r="A498" s="217"/>
      <c r="B498" s="218"/>
      <c r="C498" s="446"/>
      <c r="D498" s="218"/>
      <c r="E498" s="221"/>
      <c r="F498" s="448"/>
      <c r="G498" s="448"/>
      <c r="H498" s="222"/>
      <c r="I498" s="221">
        <f t="shared" si="4"/>
        <v>0</v>
      </c>
      <c r="J498" s="447"/>
    </row>
    <row r="499" spans="1:11" ht="15">
      <c r="A499" s="217"/>
      <c r="B499" s="218"/>
      <c r="C499" s="446"/>
      <c r="D499" s="218"/>
      <c r="E499" s="221"/>
      <c r="F499" s="448"/>
      <c r="G499" s="448"/>
      <c r="H499" s="222"/>
      <c r="I499" s="221">
        <f t="shared" si="4"/>
        <v>0</v>
      </c>
      <c r="J499" s="447"/>
    </row>
    <row r="500" spans="1:11" ht="15">
      <c r="A500" s="217"/>
      <c r="B500" s="218"/>
      <c r="C500" s="446"/>
      <c r="D500" s="218"/>
      <c r="E500" s="221"/>
      <c r="F500" s="448"/>
      <c r="G500" s="448"/>
      <c r="H500" s="222"/>
      <c r="I500" s="221">
        <f t="shared" si="4"/>
        <v>0</v>
      </c>
      <c r="J500" s="447"/>
    </row>
    <row r="501" spans="1:11" ht="15">
      <c r="A501" s="217"/>
      <c r="B501" s="218"/>
      <c r="C501" s="446"/>
      <c r="D501" s="218"/>
      <c r="E501" s="221"/>
      <c r="F501" s="448"/>
      <c r="G501" s="448"/>
      <c r="H501" s="222"/>
      <c r="I501" s="221">
        <f t="shared" si="4"/>
        <v>0</v>
      </c>
      <c r="J501" s="447"/>
    </row>
    <row r="502" spans="1:11" ht="15">
      <c r="A502" s="217"/>
      <c r="B502" s="218"/>
      <c r="C502" s="446"/>
      <c r="D502" s="218"/>
      <c r="E502" s="221"/>
      <c r="F502" s="448"/>
      <c r="G502" s="448"/>
      <c r="H502" s="222"/>
      <c r="I502" s="221">
        <f t="shared" si="4"/>
        <v>0</v>
      </c>
      <c r="J502" s="447"/>
    </row>
    <row r="503" spans="1:11" ht="15">
      <c r="A503" s="217"/>
      <c r="B503" s="218"/>
      <c r="C503" s="446"/>
      <c r="D503" s="218"/>
      <c r="E503" s="221"/>
      <c r="F503" s="448"/>
      <c r="G503" s="448"/>
      <c r="H503" s="222"/>
      <c r="I503" s="221">
        <f t="shared" si="4"/>
        <v>0</v>
      </c>
      <c r="J503" s="447"/>
    </row>
    <row r="504" spans="1:11" ht="15">
      <c r="A504" s="217"/>
      <c r="B504" s="218"/>
      <c r="C504" s="446"/>
      <c r="D504" s="218"/>
      <c r="E504" s="221"/>
      <c r="F504" s="448"/>
      <c r="G504" s="448"/>
      <c r="H504" s="222"/>
      <c r="I504" s="221">
        <f t="shared" si="4"/>
        <v>0</v>
      </c>
      <c r="J504" s="447"/>
    </row>
    <row r="505" spans="1:11" ht="15">
      <c r="A505" s="217"/>
      <c r="B505" s="218"/>
      <c r="C505" s="446"/>
      <c r="D505" s="218"/>
      <c r="E505" s="221"/>
      <c r="F505" s="448"/>
      <c r="G505" s="448"/>
      <c r="H505" s="222"/>
      <c r="I505" s="221">
        <f t="shared" si="4"/>
        <v>0</v>
      </c>
      <c r="J505" s="447"/>
    </row>
    <row r="506" spans="1:11" ht="15">
      <c r="A506" s="217"/>
      <c r="B506" s="218"/>
      <c r="C506" s="446"/>
      <c r="D506" s="218"/>
      <c r="E506" s="221"/>
      <c r="F506" s="448"/>
      <c r="G506" s="448"/>
      <c r="H506" s="222"/>
      <c r="I506" s="221">
        <f t="shared" si="4"/>
        <v>0</v>
      </c>
      <c r="J506" s="447"/>
    </row>
    <row r="507" spans="1:11" ht="15">
      <c r="A507" s="217"/>
      <c r="B507" s="218"/>
      <c r="C507" s="446"/>
      <c r="D507" s="218"/>
      <c r="E507" s="221"/>
      <c r="F507" s="448"/>
      <c r="G507" s="448"/>
      <c r="H507" s="222"/>
      <c r="I507" s="221">
        <f t="shared" si="4"/>
        <v>0</v>
      </c>
      <c r="J507" s="447"/>
    </row>
    <row r="508" spans="1:11" ht="15">
      <c r="A508" s="217"/>
      <c r="B508" s="218"/>
      <c r="C508" s="446"/>
      <c r="D508" s="218"/>
      <c r="E508" s="221"/>
      <c r="F508" s="448"/>
      <c r="G508" s="448"/>
      <c r="H508" s="222"/>
      <c r="I508" s="221">
        <f t="shared" si="4"/>
        <v>0</v>
      </c>
      <c r="J508" s="447"/>
    </row>
    <row r="509" spans="1:11" ht="15">
      <c r="A509" s="217"/>
      <c r="B509" s="218"/>
      <c r="C509" s="446"/>
      <c r="D509" s="218"/>
      <c r="E509" s="221"/>
      <c r="F509" s="448"/>
      <c r="G509" s="448"/>
      <c r="H509" s="222"/>
      <c r="I509" s="221">
        <f t="shared" si="4"/>
        <v>0</v>
      </c>
      <c r="J509" s="447"/>
    </row>
    <row r="510" spans="1:11">
      <c r="A510" s="217"/>
      <c r="B510" s="218"/>
      <c r="C510" s="446"/>
      <c r="D510" s="218"/>
      <c r="E510" s="221"/>
      <c r="F510" s="448"/>
      <c r="G510" s="448"/>
      <c r="H510" s="222"/>
      <c r="I510" s="221">
        <f t="shared" si="4"/>
        <v>0</v>
      </c>
      <c r="J510" s="218" t="s">
        <v>56</v>
      </c>
      <c r="K510" s="449">
        <f>SUM(E414:E513)</f>
        <v>0</v>
      </c>
    </row>
    <row r="511" spans="1:11">
      <c r="A511" s="217"/>
      <c r="B511" s="218"/>
      <c r="C511" s="446"/>
      <c r="D511" s="218"/>
      <c r="E511" s="221"/>
      <c r="F511" s="448"/>
      <c r="G511" s="448"/>
      <c r="H511" s="222"/>
      <c r="I511" s="221">
        <f t="shared" si="4"/>
        <v>0</v>
      </c>
      <c r="J511" s="218" t="s">
        <v>160</v>
      </c>
      <c r="K511" s="449">
        <f>SUM(F414:F513)</f>
        <v>0</v>
      </c>
    </row>
    <row r="512" spans="1:11">
      <c r="A512" s="217"/>
      <c r="B512" s="218"/>
      <c r="C512" s="446"/>
      <c r="D512" s="218"/>
      <c r="E512" s="221"/>
      <c r="F512" s="448"/>
      <c r="G512" s="448"/>
      <c r="H512" s="222"/>
      <c r="I512" s="221">
        <f t="shared" si="4"/>
        <v>0</v>
      </c>
      <c r="J512" s="218" t="s">
        <v>72</v>
      </c>
      <c r="K512" s="449">
        <f>SUM(G414:G513)</f>
        <v>0</v>
      </c>
    </row>
    <row r="513" spans="1:11">
      <c r="A513" s="217"/>
      <c r="B513" s="218"/>
      <c r="C513" s="446"/>
      <c r="D513" s="218"/>
      <c r="E513" s="221"/>
      <c r="F513" s="448"/>
      <c r="G513" s="448"/>
      <c r="H513" s="222"/>
      <c r="I513" s="221">
        <f t="shared" si="4"/>
        <v>0</v>
      </c>
      <c r="J513" s="218" t="s">
        <v>162</v>
      </c>
      <c r="K513" s="449">
        <f>SUM(H414:H513)</f>
        <v>0</v>
      </c>
    </row>
    <row r="514" spans="1:11">
      <c r="A514" s="218"/>
      <c r="B514" s="218"/>
      <c r="C514" s="218"/>
      <c r="D514" s="218"/>
      <c r="E514" s="218"/>
      <c r="F514" s="218"/>
      <c r="G514" s="218"/>
      <c r="H514" s="222"/>
      <c r="J514" s="452" t="s">
        <v>163</v>
      </c>
      <c r="K514" s="450">
        <f>SUM(K510:K513)</f>
        <v>0</v>
      </c>
    </row>
    <row r="515" spans="1:11" thickBot="1">
      <c r="A515" s="485" t="s">
        <v>24</v>
      </c>
      <c r="B515" s="486"/>
      <c r="C515" s="486"/>
      <c r="D515" s="486"/>
      <c r="E515" s="486"/>
      <c r="F515" s="486"/>
      <c r="G515" s="486"/>
      <c r="H515" s="486"/>
      <c r="I515" s="486"/>
      <c r="J515" s="486"/>
    </row>
    <row r="516" spans="1:11" ht="15">
      <c r="A516" s="217"/>
      <c r="B516" s="218"/>
      <c r="C516" s="446"/>
      <c r="D516" s="218"/>
      <c r="E516" s="221"/>
      <c r="F516" s="222"/>
      <c r="G516" s="221"/>
      <c r="H516" s="221"/>
      <c r="I516" s="221">
        <f t="shared" ref="I516:I615" si="5">SUM(E516:H516)</f>
        <v>0</v>
      </c>
      <c r="J516" s="447"/>
    </row>
    <row r="517" spans="1:11" ht="15">
      <c r="A517" s="217"/>
      <c r="B517" s="218"/>
      <c r="C517" s="446"/>
      <c r="D517" s="218"/>
      <c r="E517" s="222"/>
      <c r="F517" s="222"/>
      <c r="G517" s="221"/>
      <c r="H517" s="222"/>
      <c r="I517" s="221">
        <f t="shared" si="5"/>
        <v>0</v>
      </c>
      <c r="J517" s="447"/>
    </row>
    <row r="518" spans="1:11" ht="15">
      <c r="A518" s="217"/>
      <c r="B518" s="218"/>
      <c r="C518" s="446"/>
      <c r="D518" s="218"/>
      <c r="E518" s="221"/>
      <c r="F518" s="222"/>
      <c r="G518" s="221"/>
      <c r="H518" s="221"/>
      <c r="I518" s="221">
        <f t="shared" si="5"/>
        <v>0</v>
      </c>
      <c r="J518" s="447"/>
    </row>
    <row r="519" spans="1:11" ht="15">
      <c r="A519" s="217"/>
      <c r="B519" s="218"/>
      <c r="C519" s="446"/>
      <c r="D519" s="218"/>
      <c r="E519" s="221"/>
      <c r="F519" s="222"/>
      <c r="G519" s="221"/>
      <c r="H519" s="221"/>
      <c r="I519" s="221">
        <f t="shared" si="5"/>
        <v>0</v>
      </c>
      <c r="J519" s="447"/>
    </row>
    <row r="520" spans="1:11" ht="15">
      <c r="A520" s="217"/>
      <c r="B520" s="218"/>
      <c r="C520" s="446"/>
      <c r="D520" s="218"/>
      <c r="E520" s="222"/>
      <c r="F520" s="222"/>
      <c r="G520" s="221"/>
      <c r="H520" s="222"/>
      <c r="I520" s="221">
        <f t="shared" si="5"/>
        <v>0</v>
      </c>
      <c r="J520" s="447"/>
    </row>
    <row r="521" spans="1:11" ht="15">
      <c r="A521" s="217"/>
      <c r="B521" s="218"/>
      <c r="C521" s="446"/>
      <c r="D521" s="218"/>
      <c r="E521" s="221"/>
      <c r="F521" s="222"/>
      <c r="G521" s="221"/>
      <c r="H521" s="221"/>
      <c r="I521" s="221">
        <f t="shared" si="5"/>
        <v>0</v>
      </c>
      <c r="J521" s="447"/>
    </row>
    <row r="522" spans="1:11" ht="15">
      <c r="A522" s="217"/>
      <c r="B522" s="218"/>
      <c r="C522" s="446"/>
      <c r="D522" s="218"/>
      <c r="E522" s="221"/>
      <c r="F522" s="222"/>
      <c r="G522" s="221"/>
      <c r="H522" s="221"/>
      <c r="I522" s="221">
        <f t="shared" si="5"/>
        <v>0</v>
      </c>
      <c r="J522" s="447"/>
    </row>
    <row r="523" spans="1:11" ht="15">
      <c r="A523" s="217"/>
      <c r="B523" s="218"/>
      <c r="C523" s="446"/>
      <c r="D523" s="218"/>
      <c r="E523" s="221"/>
      <c r="F523" s="222"/>
      <c r="G523" s="221"/>
      <c r="H523" s="221"/>
      <c r="I523" s="221">
        <f t="shared" si="5"/>
        <v>0</v>
      </c>
      <c r="J523" s="447"/>
    </row>
    <row r="524" spans="1:11" ht="15">
      <c r="A524" s="217"/>
      <c r="B524" s="218"/>
      <c r="C524" s="446"/>
      <c r="D524" s="218"/>
      <c r="E524" s="222"/>
      <c r="F524" s="222"/>
      <c r="G524" s="221"/>
      <c r="H524" s="222"/>
      <c r="I524" s="221">
        <f t="shared" si="5"/>
        <v>0</v>
      </c>
      <c r="J524" s="447"/>
    </row>
    <row r="525" spans="1:11" ht="15">
      <c r="A525" s="217"/>
      <c r="B525" s="218"/>
      <c r="C525" s="446"/>
      <c r="D525" s="218"/>
      <c r="E525" s="222"/>
      <c r="F525" s="222"/>
      <c r="G525" s="221"/>
      <c r="H525" s="222"/>
      <c r="I525" s="221">
        <f t="shared" si="5"/>
        <v>0</v>
      </c>
      <c r="J525" s="447"/>
    </row>
    <row r="526" spans="1:11" ht="15">
      <c r="A526" s="217"/>
      <c r="B526" s="218"/>
      <c r="C526" s="446"/>
      <c r="D526" s="218"/>
      <c r="E526" s="221"/>
      <c r="F526" s="222"/>
      <c r="G526" s="221"/>
      <c r="H526" s="221"/>
      <c r="I526" s="221">
        <f t="shared" si="5"/>
        <v>0</v>
      </c>
      <c r="J526" s="447"/>
    </row>
    <row r="527" spans="1:11" ht="15">
      <c r="A527" s="217"/>
      <c r="B527" s="218"/>
      <c r="C527" s="446"/>
      <c r="D527" s="218"/>
      <c r="E527" s="221"/>
      <c r="F527" s="222"/>
      <c r="G527" s="221"/>
      <c r="H527" s="221"/>
      <c r="I527" s="221">
        <f t="shared" si="5"/>
        <v>0</v>
      </c>
      <c r="J527" s="447"/>
    </row>
    <row r="528" spans="1:11" ht="15">
      <c r="A528" s="217"/>
      <c r="B528" s="218"/>
      <c r="C528" s="446"/>
      <c r="D528" s="218"/>
      <c r="E528" s="221"/>
      <c r="F528" s="222"/>
      <c r="G528" s="221"/>
      <c r="H528" s="221"/>
      <c r="I528" s="221">
        <f t="shared" si="5"/>
        <v>0</v>
      </c>
      <c r="J528" s="447"/>
    </row>
    <row r="529" spans="1:10" ht="15">
      <c r="A529" s="217"/>
      <c r="B529" s="218"/>
      <c r="C529" s="446"/>
      <c r="D529" s="218"/>
      <c r="E529" s="222"/>
      <c r="F529" s="222"/>
      <c r="G529" s="221"/>
      <c r="H529" s="222"/>
      <c r="I529" s="221">
        <f t="shared" si="5"/>
        <v>0</v>
      </c>
      <c r="J529" s="447"/>
    </row>
    <row r="530" spans="1:10" ht="15">
      <c r="A530" s="217"/>
      <c r="B530" s="218"/>
      <c r="C530" s="446"/>
      <c r="D530" s="218"/>
      <c r="E530" s="222"/>
      <c r="F530" s="222"/>
      <c r="G530" s="221"/>
      <c r="H530" s="222"/>
      <c r="I530" s="221">
        <f t="shared" si="5"/>
        <v>0</v>
      </c>
      <c r="J530" s="447"/>
    </row>
    <row r="531" spans="1:10" ht="15">
      <c r="A531" s="217"/>
      <c r="B531" s="218"/>
      <c r="C531" s="446"/>
      <c r="D531" s="218"/>
      <c r="E531" s="222"/>
      <c r="F531" s="222"/>
      <c r="G531" s="221"/>
      <c r="H531" s="222"/>
      <c r="I531" s="221">
        <f t="shared" si="5"/>
        <v>0</v>
      </c>
      <c r="J531" s="447"/>
    </row>
    <row r="532" spans="1:10" ht="15">
      <c r="A532" s="217"/>
      <c r="B532" s="218"/>
      <c r="C532" s="446"/>
      <c r="D532" s="218"/>
      <c r="E532" s="222"/>
      <c r="F532" s="222"/>
      <c r="G532" s="221"/>
      <c r="H532" s="222"/>
      <c r="I532" s="221">
        <f t="shared" si="5"/>
        <v>0</v>
      </c>
      <c r="J532" s="447"/>
    </row>
    <row r="533" spans="1:10" ht="15">
      <c r="A533" s="217"/>
      <c r="B533" s="218"/>
      <c r="C533" s="446"/>
      <c r="D533" s="218"/>
      <c r="E533" s="222"/>
      <c r="F533" s="222"/>
      <c r="G533" s="221"/>
      <c r="H533" s="222"/>
      <c r="I533" s="221">
        <f t="shared" si="5"/>
        <v>0</v>
      </c>
      <c r="J533" s="447"/>
    </row>
    <row r="534" spans="1:10" ht="15">
      <c r="A534" s="217"/>
      <c r="B534" s="218"/>
      <c r="C534" s="446"/>
      <c r="D534" s="218"/>
      <c r="E534" s="222"/>
      <c r="F534" s="222"/>
      <c r="G534" s="221"/>
      <c r="H534" s="222"/>
      <c r="I534" s="221">
        <f t="shared" si="5"/>
        <v>0</v>
      </c>
      <c r="J534" s="447"/>
    </row>
    <row r="535" spans="1:10" ht="15">
      <c r="A535" s="217"/>
      <c r="B535" s="218"/>
      <c r="C535" s="446"/>
      <c r="D535" s="218"/>
      <c r="E535" s="222"/>
      <c r="F535" s="222"/>
      <c r="G535" s="221"/>
      <c r="H535" s="222"/>
      <c r="I535" s="221">
        <f t="shared" si="5"/>
        <v>0</v>
      </c>
      <c r="J535" s="447"/>
    </row>
    <row r="536" spans="1:10" ht="15">
      <c r="A536" s="217"/>
      <c r="B536" s="218"/>
      <c r="C536" s="446"/>
      <c r="D536" s="218"/>
      <c r="E536" s="221"/>
      <c r="F536" s="224"/>
      <c r="G536" s="224"/>
      <c r="H536" s="222"/>
      <c r="I536" s="221">
        <f t="shared" si="5"/>
        <v>0</v>
      </c>
      <c r="J536" s="447"/>
    </row>
    <row r="537" spans="1:10" ht="15">
      <c r="A537" s="217"/>
      <c r="B537" s="218"/>
      <c r="C537" s="446"/>
      <c r="D537" s="226"/>
      <c r="E537" s="221"/>
      <c r="F537" s="224"/>
      <c r="G537" s="224"/>
      <c r="H537" s="222"/>
      <c r="I537" s="221">
        <f t="shared" si="5"/>
        <v>0</v>
      </c>
      <c r="J537" s="447"/>
    </row>
    <row r="538" spans="1:10" ht="15">
      <c r="A538" s="217"/>
      <c r="B538" s="218"/>
      <c r="C538" s="446"/>
      <c r="D538" s="218"/>
      <c r="E538" s="221"/>
      <c r="F538" s="224"/>
      <c r="G538" s="224"/>
      <c r="H538" s="222"/>
      <c r="I538" s="221">
        <f t="shared" si="5"/>
        <v>0</v>
      </c>
      <c r="J538" s="447"/>
    </row>
    <row r="539" spans="1:10" ht="15">
      <c r="A539" s="217"/>
      <c r="B539" s="218"/>
      <c r="C539" s="446"/>
      <c r="D539" s="218"/>
      <c r="E539" s="221"/>
      <c r="F539" s="224"/>
      <c r="G539" s="224"/>
      <c r="H539" s="222"/>
      <c r="I539" s="221">
        <f t="shared" si="5"/>
        <v>0</v>
      </c>
      <c r="J539" s="447"/>
    </row>
    <row r="540" spans="1:10" ht="15">
      <c r="A540" s="217"/>
      <c r="B540" s="218"/>
      <c r="C540" s="446"/>
      <c r="D540" s="218"/>
      <c r="E540" s="221"/>
      <c r="F540" s="224"/>
      <c r="G540" s="224"/>
      <c r="H540" s="222"/>
      <c r="I540" s="221">
        <f t="shared" si="5"/>
        <v>0</v>
      </c>
      <c r="J540" s="447"/>
    </row>
    <row r="541" spans="1:10" ht="15">
      <c r="A541" s="217"/>
      <c r="B541" s="218"/>
      <c r="C541" s="446"/>
      <c r="D541" s="218"/>
      <c r="E541" s="221"/>
      <c r="F541" s="224"/>
      <c r="G541" s="224"/>
      <c r="H541" s="222"/>
      <c r="I541" s="221">
        <f t="shared" si="5"/>
        <v>0</v>
      </c>
      <c r="J541" s="447"/>
    </row>
    <row r="542" spans="1:10" ht="15">
      <c r="A542" s="217"/>
      <c r="B542" s="218"/>
      <c r="C542" s="446"/>
      <c r="D542" s="218"/>
      <c r="E542" s="221"/>
      <c r="F542" s="224"/>
      <c r="G542" s="224"/>
      <c r="H542" s="222"/>
      <c r="I542" s="221">
        <f t="shared" si="5"/>
        <v>0</v>
      </c>
      <c r="J542" s="447"/>
    </row>
    <row r="543" spans="1:10" ht="15">
      <c r="A543" s="217"/>
      <c r="B543" s="218"/>
      <c r="C543" s="446"/>
      <c r="D543" s="218"/>
      <c r="E543" s="221"/>
      <c r="F543" s="224"/>
      <c r="G543" s="224"/>
      <c r="H543" s="222"/>
      <c r="I543" s="221">
        <f t="shared" si="5"/>
        <v>0</v>
      </c>
      <c r="J543" s="447"/>
    </row>
    <row r="544" spans="1:10" ht="15">
      <c r="A544" s="217"/>
      <c r="B544" s="218"/>
      <c r="C544" s="446"/>
      <c r="D544" s="218"/>
      <c r="E544" s="221"/>
      <c r="F544" s="224"/>
      <c r="G544" s="224"/>
      <c r="H544" s="222"/>
      <c r="I544" s="221">
        <f t="shared" si="5"/>
        <v>0</v>
      </c>
      <c r="J544" s="447"/>
    </row>
    <row r="545" spans="1:10" ht="15">
      <c r="A545" s="217"/>
      <c r="B545" s="218"/>
      <c r="C545" s="446"/>
      <c r="D545" s="218"/>
      <c r="E545" s="221"/>
      <c r="F545" s="224"/>
      <c r="G545" s="224"/>
      <c r="H545" s="222"/>
      <c r="I545" s="221">
        <f t="shared" si="5"/>
        <v>0</v>
      </c>
      <c r="J545" s="447"/>
    </row>
    <row r="546" spans="1:10" ht="15">
      <c r="A546" s="217"/>
      <c r="B546" s="218"/>
      <c r="C546" s="446"/>
      <c r="D546" s="218"/>
      <c r="E546" s="221"/>
      <c r="F546" s="224"/>
      <c r="G546" s="224"/>
      <c r="H546" s="222"/>
      <c r="I546" s="221">
        <f t="shared" si="5"/>
        <v>0</v>
      </c>
      <c r="J546" s="447"/>
    </row>
    <row r="547" spans="1:10" ht="15">
      <c r="A547" s="217"/>
      <c r="B547" s="218"/>
      <c r="C547" s="446"/>
      <c r="D547" s="218"/>
      <c r="E547" s="221"/>
      <c r="F547" s="224"/>
      <c r="G547" s="224"/>
      <c r="H547" s="222"/>
      <c r="I547" s="221">
        <f t="shared" si="5"/>
        <v>0</v>
      </c>
      <c r="J547" s="447"/>
    </row>
    <row r="548" spans="1:10" ht="15">
      <c r="A548" s="217"/>
      <c r="B548" s="218"/>
      <c r="C548" s="446"/>
      <c r="D548" s="218"/>
      <c r="E548" s="221"/>
      <c r="F548" s="224"/>
      <c r="G548" s="224"/>
      <c r="H548" s="222"/>
      <c r="I548" s="221">
        <f t="shared" si="5"/>
        <v>0</v>
      </c>
      <c r="J548" s="447"/>
    </row>
    <row r="549" spans="1:10" ht="15">
      <c r="A549" s="217"/>
      <c r="B549" s="218"/>
      <c r="C549" s="446"/>
      <c r="D549" s="218"/>
      <c r="E549" s="221"/>
      <c r="F549" s="224"/>
      <c r="G549" s="224"/>
      <c r="H549" s="222"/>
      <c r="I549" s="221">
        <f t="shared" si="5"/>
        <v>0</v>
      </c>
      <c r="J549" s="447"/>
    </row>
    <row r="550" spans="1:10" ht="15">
      <c r="A550" s="217"/>
      <c r="B550" s="218"/>
      <c r="C550" s="446"/>
      <c r="D550" s="218"/>
      <c r="E550" s="221"/>
      <c r="F550" s="224"/>
      <c r="G550" s="224"/>
      <c r="H550" s="222"/>
      <c r="I550" s="221">
        <f t="shared" si="5"/>
        <v>0</v>
      </c>
      <c r="J550" s="447"/>
    </row>
    <row r="551" spans="1:10" ht="15">
      <c r="A551" s="217"/>
      <c r="B551" s="218"/>
      <c r="C551" s="446"/>
      <c r="D551" s="218"/>
      <c r="E551" s="221"/>
      <c r="F551" s="224"/>
      <c r="G551" s="224"/>
      <c r="H551" s="222"/>
      <c r="I551" s="221">
        <f t="shared" si="5"/>
        <v>0</v>
      </c>
      <c r="J551" s="447"/>
    </row>
    <row r="552" spans="1:10" ht="15">
      <c r="A552" s="217"/>
      <c r="B552" s="218"/>
      <c r="C552" s="446"/>
      <c r="D552" s="218"/>
      <c r="E552" s="221"/>
      <c r="F552" s="224"/>
      <c r="G552" s="224"/>
      <c r="H552" s="222"/>
      <c r="I552" s="221">
        <f t="shared" si="5"/>
        <v>0</v>
      </c>
      <c r="J552" s="447"/>
    </row>
    <row r="553" spans="1:10" ht="15">
      <c r="A553" s="217"/>
      <c r="B553" s="218"/>
      <c r="C553" s="446"/>
      <c r="D553" s="218"/>
      <c r="E553" s="221"/>
      <c r="F553" s="224"/>
      <c r="G553" s="224"/>
      <c r="H553" s="222"/>
      <c r="I553" s="221">
        <f t="shared" si="5"/>
        <v>0</v>
      </c>
      <c r="J553" s="447"/>
    </row>
    <row r="554" spans="1:10" ht="15">
      <c r="A554" s="217"/>
      <c r="B554" s="218"/>
      <c r="C554" s="446"/>
      <c r="D554" s="226"/>
      <c r="E554" s="221"/>
      <c r="F554" s="224"/>
      <c r="G554" s="224"/>
      <c r="H554" s="222"/>
      <c r="I554" s="221">
        <f t="shared" si="5"/>
        <v>0</v>
      </c>
      <c r="J554" s="447"/>
    </row>
    <row r="555" spans="1:10" ht="15">
      <c r="A555" s="217"/>
      <c r="B555" s="218"/>
      <c r="C555" s="446"/>
      <c r="D555" s="218"/>
      <c r="E555" s="221"/>
      <c r="F555" s="224"/>
      <c r="G555" s="224"/>
      <c r="H555" s="222"/>
      <c r="I555" s="221">
        <f t="shared" si="5"/>
        <v>0</v>
      </c>
      <c r="J555" s="447"/>
    </row>
    <row r="556" spans="1:10" ht="15">
      <c r="A556" s="217"/>
      <c r="B556" s="218"/>
      <c r="C556" s="446"/>
      <c r="D556" s="218"/>
      <c r="E556" s="221"/>
      <c r="F556" s="224"/>
      <c r="G556" s="224"/>
      <c r="H556" s="222"/>
      <c r="I556" s="221">
        <f t="shared" si="5"/>
        <v>0</v>
      </c>
      <c r="J556" s="447"/>
    </row>
    <row r="557" spans="1:10" ht="15">
      <c r="A557" s="217"/>
      <c r="B557" s="218"/>
      <c r="C557" s="446"/>
      <c r="D557" s="218"/>
      <c r="E557" s="221"/>
      <c r="F557" s="224"/>
      <c r="G557" s="224"/>
      <c r="H557" s="222"/>
      <c r="I557" s="221">
        <f t="shared" si="5"/>
        <v>0</v>
      </c>
      <c r="J557" s="447"/>
    </row>
    <row r="558" spans="1:10" ht="15">
      <c r="A558" s="217"/>
      <c r="B558" s="218"/>
      <c r="C558" s="446"/>
      <c r="D558" s="218"/>
      <c r="E558" s="221"/>
      <c r="F558" s="224"/>
      <c r="G558" s="224"/>
      <c r="H558" s="222"/>
      <c r="I558" s="221">
        <f t="shared" si="5"/>
        <v>0</v>
      </c>
      <c r="J558" s="447"/>
    </row>
    <row r="559" spans="1:10" ht="15">
      <c r="A559" s="217"/>
      <c r="B559" s="218"/>
      <c r="C559" s="446"/>
      <c r="D559" s="218"/>
      <c r="E559" s="221"/>
      <c r="F559" s="224"/>
      <c r="G559" s="224"/>
      <c r="H559" s="222"/>
      <c r="I559" s="221">
        <f t="shared" si="5"/>
        <v>0</v>
      </c>
      <c r="J559" s="447"/>
    </row>
    <row r="560" spans="1:10" ht="15">
      <c r="A560" s="217"/>
      <c r="B560" s="218"/>
      <c r="C560" s="446"/>
      <c r="D560" s="218"/>
      <c r="E560" s="221"/>
      <c r="F560" s="224"/>
      <c r="G560" s="224"/>
      <c r="H560" s="222"/>
      <c r="I560" s="221">
        <f t="shared" si="5"/>
        <v>0</v>
      </c>
      <c r="J560" s="447"/>
    </row>
    <row r="561" spans="1:10" ht="15">
      <c r="A561" s="217"/>
      <c r="B561" s="218"/>
      <c r="C561" s="446"/>
      <c r="D561" s="218"/>
      <c r="E561" s="221"/>
      <c r="F561" s="224"/>
      <c r="G561" s="224"/>
      <c r="H561" s="222"/>
      <c r="I561" s="221">
        <f t="shared" si="5"/>
        <v>0</v>
      </c>
      <c r="J561" s="447"/>
    </row>
    <row r="562" spans="1:10" ht="15">
      <c r="A562" s="217"/>
      <c r="B562" s="218"/>
      <c r="C562" s="446"/>
      <c r="D562" s="218"/>
      <c r="E562" s="221"/>
      <c r="F562" s="448"/>
      <c r="G562" s="448"/>
      <c r="H562" s="222"/>
      <c r="I562" s="221">
        <f t="shared" si="5"/>
        <v>0</v>
      </c>
      <c r="J562" s="447"/>
    </row>
    <row r="563" spans="1:10" ht="15">
      <c r="A563" s="217"/>
      <c r="B563" s="218"/>
      <c r="C563" s="446"/>
      <c r="D563" s="218"/>
      <c r="E563" s="221"/>
      <c r="F563" s="448"/>
      <c r="G563" s="448"/>
      <c r="H563" s="222"/>
      <c r="I563" s="221">
        <f t="shared" si="5"/>
        <v>0</v>
      </c>
      <c r="J563" s="447"/>
    </row>
    <row r="564" spans="1:10" ht="15">
      <c r="A564" s="217"/>
      <c r="B564" s="218"/>
      <c r="C564" s="446"/>
      <c r="D564" s="218"/>
      <c r="E564" s="221"/>
      <c r="F564" s="448"/>
      <c r="G564" s="448"/>
      <c r="H564" s="222"/>
      <c r="I564" s="221">
        <f t="shared" si="5"/>
        <v>0</v>
      </c>
      <c r="J564" s="447"/>
    </row>
    <row r="565" spans="1:10" ht="15">
      <c r="A565" s="217"/>
      <c r="B565" s="218"/>
      <c r="C565" s="446"/>
      <c r="D565" s="218"/>
      <c r="E565" s="221"/>
      <c r="F565" s="448"/>
      <c r="G565" s="448"/>
      <c r="H565" s="222"/>
      <c r="I565" s="221">
        <f t="shared" si="5"/>
        <v>0</v>
      </c>
      <c r="J565" s="447"/>
    </row>
    <row r="566" spans="1:10" ht="15">
      <c r="A566" s="217"/>
      <c r="B566" s="218"/>
      <c r="C566" s="446"/>
      <c r="D566" s="218"/>
      <c r="E566" s="221"/>
      <c r="F566" s="448"/>
      <c r="G566" s="448"/>
      <c r="H566" s="222"/>
      <c r="I566" s="221">
        <f t="shared" si="5"/>
        <v>0</v>
      </c>
      <c r="J566" s="447"/>
    </row>
    <row r="567" spans="1:10" ht="15">
      <c r="A567" s="217"/>
      <c r="B567" s="218"/>
      <c r="C567" s="446"/>
      <c r="D567" s="218"/>
      <c r="E567" s="221"/>
      <c r="F567" s="448"/>
      <c r="G567" s="448"/>
      <c r="H567" s="222"/>
      <c r="I567" s="221">
        <f t="shared" si="5"/>
        <v>0</v>
      </c>
      <c r="J567" s="447"/>
    </row>
    <row r="568" spans="1:10" ht="15">
      <c r="A568" s="217"/>
      <c r="B568" s="218"/>
      <c r="C568" s="446"/>
      <c r="D568" s="218"/>
      <c r="E568" s="221"/>
      <c r="F568" s="448"/>
      <c r="G568" s="448"/>
      <c r="H568" s="222"/>
      <c r="I568" s="221">
        <f t="shared" si="5"/>
        <v>0</v>
      </c>
      <c r="J568" s="447"/>
    </row>
    <row r="569" spans="1:10" ht="15">
      <c r="A569" s="217"/>
      <c r="B569" s="218"/>
      <c r="C569" s="446"/>
      <c r="D569" s="218"/>
      <c r="E569" s="221"/>
      <c r="F569" s="448"/>
      <c r="G569" s="448"/>
      <c r="H569" s="222"/>
      <c r="I569" s="221">
        <f t="shared" si="5"/>
        <v>0</v>
      </c>
      <c r="J569" s="447"/>
    </row>
    <row r="570" spans="1:10" ht="15">
      <c r="A570" s="217"/>
      <c r="B570" s="218"/>
      <c r="C570" s="446"/>
      <c r="D570" s="218"/>
      <c r="E570" s="221"/>
      <c r="F570" s="448"/>
      <c r="G570" s="448"/>
      <c r="H570" s="222"/>
      <c r="I570" s="221">
        <f t="shared" si="5"/>
        <v>0</v>
      </c>
      <c r="J570" s="447"/>
    </row>
    <row r="571" spans="1:10" ht="15">
      <c r="A571" s="217"/>
      <c r="B571" s="218"/>
      <c r="C571" s="446"/>
      <c r="D571" s="218"/>
      <c r="E571" s="221"/>
      <c r="F571" s="448"/>
      <c r="G571" s="448"/>
      <c r="H571" s="222"/>
      <c r="I571" s="221">
        <f t="shared" si="5"/>
        <v>0</v>
      </c>
      <c r="J571" s="447"/>
    </row>
    <row r="572" spans="1:10" ht="15">
      <c r="A572" s="217"/>
      <c r="B572" s="218"/>
      <c r="C572" s="446"/>
      <c r="D572" s="218"/>
      <c r="E572" s="221"/>
      <c r="F572" s="448"/>
      <c r="G572" s="448"/>
      <c r="H572" s="222"/>
      <c r="I572" s="221">
        <f t="shared" si="5"/>
        <v>0</v>
      </c>
      <c r="J572" s="447"/>
    </row>
    <row r="573" spans="1:10" ht="15">
      <c r="A573" s="217"/>
      <c r="B573" s="218"/>
      <c r="C573" s="446"/>
      <c r="D573" s="218"/>
      <c r="E573" s="221"/>
      <c r="F573" s="448"/>
      <c r="G573" s="448"/>
      <c r="H573" s="222"/>
      <c r="I573" s="221">
        <f t="shared" si="5"/>
        <v>0</v>
      </c>
      <c r="J573" s="447"/>
    </row>
    <row r="574" spans="1:10" ht="15">
      <c r="A574" s="217"/>
      <c r="B574" s="218"/>
      <c r="C574" s="446"/>
      <c r="D574" s="218"/>
      <c r="E574" s="221"/>
      <c r="F574" s="448"/>
      <c r="G574" s="448"/>
      <c r="H574" s="222"/>
      <c r="I574" s="221">
        <f t="shared" si="5"/>
        <v>0</v>
      </c>
      <c r="J574" s="447"/>
    </row>
    <row r="575" spans="1:10" ht="15">
      <c r="A575" s="217"/>
      <c r="B575" s="218"/>
      <c r="C575" s="446"/>
      <c r="D575" s="218"/>
      <c r="E575" s="221"/>
      <c r="F575" s="448"/>
      <c r="G575" s="448"/>
      <c r="H575" s="222"/>
      <c r="I575" s="221">
        <f t="shared" si="5"/>
        <v>0</v>
      </c>
      <c r="J575" s="447"/>
    </row>
    <row r="576" spans="1:10" ht="15">
      <c r="A576" s="217"/>
      <c r="B576" s="218"/>
      <c r="C576" s="446"/>
      <c r="D576" s="218"/>
      <c r="E576" s="221"/>
      <c r="F576" s="448"/>
      <c r="G576" s="448"/>
      <c r="H576" s="222"/>
      <c r="I576" s="221">
        <f t="shared" si="5"/>
        <v>0</v>
      </c>
      <c r="J576" s="447"/>
    </row>
    <row r="577" spans="1:10" ht="15">
      <c r="A577" s="217"/>
      <c r="B577" s="218"/>
      <c r="C577" s="446"/>
      <c r="D577" s="218"/>
      <c r="E577" s="221"/>
      <c r="F577" s="448"/>
      <c r="G577" s="448"/>
      <c r="H577" s="222"/>
      <c r="I577" s="221">
        <f t="shared" si="5"/>
        <v>0</v>
      </c>
      <c r="J577" s="447"/>
    </row>
    <row r="578" spans="1:10" ht="15">
      <c r="A578" s="217"/>
      <c r="B578" s="218"/>
      <c r="C578" s="446"/>
      <c r="D578" s="218"/>
      <c r="E578" s="221"/>
      <c r="F578" s="448"/>
      <c r="G578" s="448"/>
      <c r="H578" s="222"/>
      <c r="I578" s="221">
        <f t="shared" si="5"/>
        <v>0</v>
      </c>
      <c r="J578" s="447"/>
    </row>
    <row r="579" spans="1:10" ht="15">
      <c r="A579" s="217"/>
      <c r="B579" s="218"/>
      <c r="C579" s="446"/>
      <c r="D579" s="218"/>
      <c r="E579" s="221"/>
      <c r="F579" s="448"/>
      <c r="G579" s="448"/>
      <c r="H579" s="222"/>
      <c r="I579" s="221">
        <f t="shared" si="5"/>
        <v>0</v>
      </c>
      <c r="J579" s="447"/>
    </row>
    <row r="580" spans="1:10" ht="15">
      <c r="A580" s="217"/>
      <c r="B580" s="218"/>
      <c r="C580" s="446"/>
      <c r="D580" s="218"/>
      <c r="E580" s="221"/>
      <c r="F580" s="448"/>
      <c r="G580" s="448"/>
      <c r="H580" s="222"/>
      <c r="I580" s="221">
        <f t="shared" si="5"/>
        <v>0</v>
      </c>
      <c r="J580" s="447"/>
    </row>
    <row r="581" spans="1:10" ht="15">
      <c r="A581" s="217"/>
      <c r="B581" s="218"/>
      <c r="C581" s="446"/>
      <c r="D581" s="218"/>
      <c r="E581" s="221"/>
      <c r="F581" s="448"/>
      <c r="G581" s="448"/>
      <c r="H581" s="222"/>
      <c r="I581" s="221">
        <f t="shared" si="5"/>
        <v>0</v>
      </c>
      <c r="J581" s="447"/>
    </row>
    <row r="582" spans="1:10" ht="15">
      <c r="A582" s="217"/>
      <c r="B582" s="218"/>
      <c r="C582" s="446"/>
      <c r="D582" s="218"/>
      <c r="E582" s="221"/>
      <c r="F582" s="448"/>
      <c r="G582" s="448"/>
      <c r="H582" s="222"/>
      <c r="I582" s="221">
        <f t="shared" si="5"/>
        <v>0</v>
      </c>
      <c r="J582" s="447"/>
    </row>
    <row r="583" spans="1:10" ht="15">
      <c r="A583" s="217"/>
      <c r="B583" s="218"/>
      <c r="C583" s="446"/>
      <c r="D583" s="218"/>
      <c r="E583" s="221"/>
      <c r="F583" s="448"/>
      <c r="G583" s="448"/>
      <c r="H583" s="222"/>
      <c r="I583" s="221">
        <f t="shared" si="5"/>
        <v>0</v>
      </c>
      <c r="J583" s="447"/>
    </row>
    <row r="584" spans="1:10" ht="15">
      <c r="A584" s="217"/>
      <c r="B584" s="218"/>
      <c r="C584" s="446"/>
      <c r="D584" s="218"/>
      <c r="E584" s="221"/>
      <c r="F584" s="448"/>
      <c r="G584" s="448"/>
      <c r="H584" s="222"/>
      <c r="I584" s="221">
        <f t="shared" si="5"/>
        <v>0</v>
      </c>
      <c r="J584" s="447"/>
    </row>
    <row r="585" spans="1:10" ht="15">
      <c r="A585" s="217"/>
      <c r="B585" s="218"/>
      <c r="C585" s="446"/>
      <c r="D585" s="218"/>
      <c r="E585" s="221"/>
      <c r="F585" s="448"/>
      <c r="G585" s="448"/>
      <c r="H585" s="222"/>
      <c r="I585" s="221">
        <f t="shared" si="5"/>
        <v>0</v>
      </c>
      <c r="J585" s="447"/>
    </row>
    <row r="586" spans="1:10" ht="15">
      <c r="A586" s="217"/>
      <c r="B586" s="218"/>
      <c r="C586" s="446"/>
      <c r="D586" s="218"/>
      <c r="E586" s="221"/>
      <c r="F586" s="448"/>
      <c r="G586" s="448"/>
      <c r="H586" s="222"/>
      <c r="I586" s="221">
        <f t="shared" si="5"/>
        <v>0</v>
      </c>
      <c r="J586" s="447"/>
    </row>
    <row r="587" spans="1:10" ht="15">
      <c r="A587" s="217"/>
      <c r="B587" s="218"/>
      <c r="C587" s="446"/>
      <c r="D587" s="218"/>
      <c r="E587" s="221"/>
      <c r="F587" s="448"/>
      <c r="G587" s="448"/>
      <c r="H587" s="222"/>
      <c r="I587" s="221">
        <f t="shared" si="5"/>
        <v>0</v>
      </c>
      <c r="J587" s="447"/>
    </row>
    <row r="588" spans="1:10" ht="15">
      <c r="A588" s="217"/>
      <c r="B588" s="218"/>
      <c r="C588" s="446"/>
      <c r="D588" s="218"/>
      <c r="E588" s="221"/>
      <c r="F588" s="448"/>
      <c r="G588" s="448"/>
      <c r="H588" s="222"/>
      <c r="I588" s="221">
        <f t="shared" si="5"/>
        <v>0</v>
      </c>
      <c r="J588" s="447"/>
    </row>
    <row r="589" spans="1:10" ht="15">
      <c r="A589" s="217"/>
      <c r="B589" s="218"/>
      <c r="C589" s="446"/>
      <c r="D589" s="218"/>
      <c r="E589" s="221"/>
      <c r="F589" s="448"/>
      <c r="G589" s="448"/>
      <c r="H589" s="222"/>
      <c r="I589" s="221">
        <f t="shared" si="5"/>
        <v>0</v>
      </c>
      <c r="J589" s="447"/>
    </row>
    <row r="590" spans="1:10" ht="15">
      <c r="A590" s="217"/>
      <c r="B590" s="218"/>
      <c r="C590" s="446"/>
      <c r="D590" s="218"/>
      <c r="E590" s="221"/>
      <c r="F590" s="448"/>
      <c r="G590" s="448"/>
      <c r="H590" s="222"/>
      <c r="I590" s="221">
        <f t="shared" si="5"/>
        <v>0</v>
      </c>
      <c r="J590" s="447"/>
    </row>
    <row r="591" spans="1:10" ht="15">
      <c r="A591" s="217"/>
      <c r="B591" s="218"/>
      <c r="C591" s="446"/>
      <c r="D591" s="218"/>
      <c r="E591" s="221"/>
      <c r="F591" s="448"/>
      <c r="G591" s="448"/>
      <c r="H591" s="222"/>
      <c r="I591" s="221">
        <f t="shared" si="5"/>
        <v>0</v>
      </c>
      <c r="J591" s="447"/>
    </row>
    <row r="592" spans="1:10" ht="15">
      <c r="A592" s="217"/>
      <c r="B592" s="218"/>
      <c r="C592" s="446"/>
      <c r="D592" s="218"/>
      <c r="E592" s="221"/>
      <c r="F592" s="448"/>
      <c r="G592" s="448"/>
      <c r="H592" s="222"/>
      <c r="I592" s="221">
        <f t="shared" si="5"/>
        <v>0</v>
      </c>
      <c r="J592" s="447"/>
    </row>
    <row r="593" spans="1:10" ht="15">
      <c r="A593" s="217"/>
      <c r="B593" s="218"/>
      <c r="C593" s="446"/>
      <c r="D593" s="218"/>
      <c r="E593" s="221"/>
      <c r="F593" s="448"/>
      <c r="G593" s="448"/>
      <c r="H593" s="222"/>
      <c r="I593" s="221">
        <f t="shared" si="5"/>
        <v>0</v>
      </c>
      <c r="J593" s="447"/>
    </row>
    <row r="594" spans="1:10" ht="15">
      <c r="A594" s="217"/>
      <c r="B594" s="218"/>
      <c r="C594" s="446"/>
      <c r="D594" s="218"/>
      <c r="E594" s="221"/>
      <c r="F594" s="448"/>
      <c r="G594" s="448"/>
      <c r="H594" s="222"/>
      <c r="I594" s="221">
        <f t="shared" si="5"/>
        <v>0</v>
      </c>
      <c r="J594" s="447"/>
    </row>
    <row r="595" spans="1:10" ht="15">
      <c r="A595" s="217"/>
      <c r="B595" s="218"/>
      <c r="C595" s="446"/>
      <c r="D595" s="218"/>
      <c r="E595" s="221"/>
      <c r="F595" s="448"/>
      <c r="G595" s="448"/>
      <c r="H595" s="222"/>
      <c r="I595" s="221">
        <f t="shared" si="5"/>
        <v>0</v>
      </c>
      <c r="J595" s="447"/>
    </row>
    <row r="596" spans="1:10" ht="15">
      <c r="A596" s="217"/>
      <c r="B596" s="218"/>
      <c r="C596" s="446"/>
      <c r="D596" s="218"/>
      <c r="E596" s="221"/>
      <c r="F596" s="448"/>
      <c r="G596" s="448"/>
      <c r="H596" s="222"/>
      <c r="I596" s="221">
        <f t="shared" si="5"/>
        <v>0</v>
      </c>
      <c r="J596" s="447"/>
    </row>
    <row r="597" spans="1:10" ht="15">
      <c r="A597" s="217"/>
      <c r="B597" s="218"/>
      <c r="C597" s="446"/>
      <c r="D597" s="218"/>
      <c r="E597" s="221"/>
      <c r="F597" s="448"/>
      <c r="G597" s="448"/>
      <c r="H597" s="222"/>
      <c r="I597" s="221">
        <f t="shared" si="5"/>
        <v>0</v>
      </c>
      <c r="J597" s="447"/>
    </row>
    <row r="598" spans="1:10" ht="15">
      <c r="A598" s="217"/>
      <c r="B598" s="218"/>
      <c r="C598" s="446"/>
      <c r="D598" s="218"/>
      <c r="E598" s="221"/>
      <c r="F598" s="448"/>
      <c r="G598" s="448"/>
      <c r="H598" s="222"/>
      <c r="I598" s="221">
        <f t="shared" si="5"/>
        <v>0</v>
      </c>
      <c r="J598" s="447"/>
    </row>
    <row r="599" spans="1:10" ht="15">
      <c r="A599" s="217"/>
      <c r="B599" s="218"/>
      <c r="C599" s="446"/>
      <c r="D599" s="218"/>
      <c r="E599" s="221"/>
      <c r="F599" s="448"/>
      <c r="G599" s="448"/>
      <c r="H599" s="222"/>
      <c r="I599" s="221">
        <f t="shared" si="5"/>
        <v>0</v>
      </c>
      <c r="J599" s="447"/>
    </row>
    <row r="600" spans="1:10" ht="15">
      <c r="A600" s="217"/>
      <c r="B600" s="218"/>
      <c r="C600" s="446"/>
      <c r="D600" s="218"/>
      <c r="E600" s="221"/>
      <c r="F600" s="448"/>
      <c r="G600" s="448"/>
      <c r="H600" s="222"/>
      <c r="I600" s="221">
        <f t="shared" si="5"/>
        <v>0</v>
      </c>
      <c r="J600" s="447"/>
    </row>
    <row r="601" spans="1:10" ht="15">
      <c r="A601" s="217"/>
      <c r="B601" s="218"/>
      <c r="C601" s="446"/>
      <c r="D601" s="218"/>
      <c r="E601" s="221"/>
      <c r="F601" s="448"/>
      <c r="G601" s="448"/>
      <c r="H601" s="222"/>
      <c r="I601" s="221">
        <f t="shared" si="5"/>
        <v>0</v>
      </c>
      <c r="J601" s="447"/>
    </row>
    <row r="602" spans="1:10" ht="15">
      <c r="A602" s="217"/>
      <c r="B602" s="218"/>
      <c r="C602" s="446"/>
      <c r="D602" s="218"/>
      <c r="E602" s="221"/>
      <c r="F602" s="448"/>
      <c r="G602" s="448"/>
      <c r="H602" s="222"/>
      <c r="I602" s="221">
        <f t="shared" si="5"/>
        <v>0</v>
      </c>
      <c r="J602" s="447"/>
    </row>
    <row r="603" spans="1:10" ht="15">
      <c r="A603" s="217"/>
      <c r="B603" s="218"/>
      <c r="C603" s="446"/>
      <c r="D603" s="218"/>
      <c r="E603" s="221"/>
      <c r="F603" s="448"/>
      <c r="G603" s="448"/>
      <c r="H603" s="222"/>
      <c r="I603" s="221">
        <f t="shared" si="5"/>
        <v>0</v>
      </c>
      <c r="J603" s="447"/>
    </row>
    <row r="604" spans="1:10" ht="15">
      <c r="A604" s="217"/>
      <c r="B604" s="218"/>
      <c r="C604" s="446"/>
      <c r="D604" s="218"/>
      <c r="E604" s="221"/>
      <c r="F604" s="448"/>
      <c r="G604" s="448"/>
      <c r="H604" s="222"/>
      <c r="I604" s="221">
        <f t="shared" si="5"/>
        <v>0</v>
      </c>
      <c r="J604" s="447"/>
    </row>
    <row r="605" spans="1:10" ht="15">
      <c r="A605" s="217"/>
      <c r="B605" s="218"/>
      <c r="C605" s="446"/>
      <c r="D605" s="218"/>
      <c r="E605" s="221"/>
      <c r="F605" s="448"/>
      <c r="G605" s="448"/>
      <c r="H605" s="222"/>
      <c r="I605" s="221">
        <f t="shared" si="5"/>
        <v>0</v>
      </c>
      <c r="J605" s="447"/>
    </row>
    <row r="606" spans="1:10" ht="15">
      <c r="A606" s="217"/>
      <c r="B606" s="218"/>
      <c r="C606" s="446"/>
      <c r="D606" s="218"/>
      <c r="E606" s="221"/>
      <c r="F606" s="448"/>
      <c r="G606" s="448"/>
      <c r="H606" s="222"/>
      <c r="I606" s="221">
        <f t="shared" si="5"/>
        <v>0</v>
      </c>
      <c r="J606" s="447"/>
    </row>
    <row r="607" spans="1:10" ht="15">
      <c r="A607" s="217"/>
      <c r="B607" s="218"/>
      <c r="C607" s="446"/>
      <c r="D607" s="218"/>
      <c r="E607" s="221"/>
      <c r="F607" s="448"/>
      <c r="G607" s="448"/>
      <c r="H607" s="222"/>
      <c r="I607" s="221">
        <f t="shared" si="5"/>
        <v>0</v>
      </c>
      <c r="J607" s="447"/>
    </row>
    <row r="608" spans="1:10" ht="15">
      <c r="A608" s="217"/>
      <c r="B608" s="218"/>
      <c r="C608" s="446"/>
      <c r="D608" s="218"/>
      <c r="E608" s="221"/>
      <c r="F608" s="448"/>
      <c r="G608" s="448"/>
      <c r="H608" s="222"/>
      <c r="I608" s="221">
        <f t="shared" si="5"/>
        <v>0</v>
      </c>
      <c r="J608" s="447"/>
    </row>
    <row r="609" spans="1:11" ht="15">
      <c r="A609" s="217"/>
      <c r="B609" s="218"/>
      <c r="C609" s="446"/>
      <c r="D609" s="218"/>
      <c r="E609" s="221"/>
      <c r="F609" s="448"/>
      <c r="G609" s="448"/>
      <c r="H609" s="222"/>
      <c r="I609" s="221">
        <f t="shared" si="5"/>
        <v>0</v>
      </c>
      <c r="J609" s="447"/>
    </row>
    <row r="610" spans="1:11" ht="15">
      <c r="A610" s="217"/>
      <c r="B610" s="218"/>
      <c r="C610" s="446"/>
      <c r="D610" s="218"/>
      <c r="E610" s="221"/>
      <c r="F610" s="448"/>
      <c r="G610" s="448"/>
      <c r="H610" s="222"/>
      <c r="I610" s="221">
        <f t="shared" si="5"/>
        <v>0</v>
      </c>
      <c r="J610" s="447"/>
    </row>
    <row r="611" spans="1:11" ht="15">
      <c r="A611" s="217"/>
      <c r="B611" s="218"/>
      <c r="C611" s="446"/>
      <c r="D611" s="218"/>
      <c r="E611" s="221"/>
      <c r="F611" s="448"/>
      <c r="G611" s="448"/>
      <c r="H611" s="222"/>
      <c r="I611" s="221">
        <f t="shared" si="5"/>
        <v>0</v>
      </c>
      <c r="J611" s="447"/>
    </row>
    <row r="612" spans="1:11">
      <c r="A612" s="217"/>
      <c r="B612" s="218"/>
      <c r="C612" s="446"/>
      <c r="D612" s="218"/>
      <c r="E612" s="221"/>
      <c r="F612" s="448"/>
      <c r="G612" s="448"/>
      <c r="H612" s="222"/>
      <c r="I612" s="221">
        <f t="shared" si="5"/>
        <v>0</v>
      </c>
      <c r="J612" s="218" t="s">
        <v>56</v>
      </c>
      <c r="K612" s="449">
        <f>SUM(E516:E615)</f>
        <v>0</v>
      </c>
    </row>
    <row r="613" spans="1:11">
      <c r="A613" s="217"/>
      <c r="B613" s="218"/>
      <c r="C613" s="446"/>
      <c r="D613" s="218"/>
      <c r="E613" s="221"/>
      <c r="F613" s="448"/>
      <c r="G613" s="448"/>
      <c r="H613" s="222"/>
      <c r="I613" s="221">
        <f t="shared" si="5"/>
        <v>0</v>
      </c>
      <c r="J613" s="218" t="s">
        <v>160</v>
      </c>
      <c r="K613" s="449">
        <f>SUM(F516:F615)</f>
        <v>0</v>
      </c>
    </row>
    <row r="614" spans="1:11">
      <c r="A614" s="217"/>
      <c r="B614" s="218"/>
      <c r="C614" s="446"/>
      <c r="D614" s="218"/>
      <c r="E614" s="221"/>
      <c r="F614" s="448"/>
      <c r="G614" s="448"/>
      <c r="H614" s="222"/>
      <c r="I614" s="221">
        <f t="shared" si="5"/>
        <v>0</v>
      </c>
      <c r="J614" s="218" t="s">
        <v>72</v>
      </c>
      <c r="K614" s="449">
        <f>SUM(G516:G615)</f>
        <v>0</v>
      </c>
    </row>
    <row r="615" spans="1:11">
      <c r="A615" s="217"/>
      <c r="B615" s="218"/>
      <c r="C615" s="446"/>
      <c r="D615" s="218"/>
      <c r="E615" s="221"/>
      <c r="F615" s="448"/>
      <c r="G615" s="448"/>
      <c r="H615" s="222"/>
      <c r="I615" s="221">
        <f t="shared" si="5"/>
        <v>0</v>
      </c>
      <c r="J615" s="218" t="s">
        <v>162</v>
      </c>
      <c r="K615" s="449">
        <f>SUM(H516:H615)</f>
        <v>0</v>
      </c>
    </row>
    <row r="616" spans="1:11">
      <c r="A616" s="218"/>
      <c r="B616" s="218"/>
      <c r="C616" s="218"/>
      <c r="D616" s="218"/>
      <c r="E616" s="218"/>
      <c r="F616" s="218"/>
      <c r="G616" s="218"/>
      <c r="H616" s="222"/>
      <c r="J616" s="452" t="s">
        <v>163</v>
      </c>
      <c r="K616" s="450">
        <f>SUM(K612:K615)</f>
        <v>0</v>
      </c>
    </row>
    <row r="617" spans="1:11" thickBot="1">
      <c r="A617" s="485" t="s">
        <v>25</v>
      </c>
      <c r="B617" s="486"/>
      <c r="C617" s="486"/>
      <c r="D617" s="486"/>
      <c r="E617" s="486"/>
      <c r="F617" s="486"/>
      <c r="G617" s="486"/>
      <c r="H617" s="486"/>
      <c r="I617" s="486"/>
      <c r="J617" s="486"/>
    </row>
    <row r="618" spans="1:11" ht="15">
      <c r="A618" s="217"/>
      <c r="B618" s="218"/>
      <c r="C618" s="446"/>
      <c r="D618" s="218"/>
      <c r="E618" s="221"/>
      <c r="F618" s="222"/>
      <c r="G618" s="221"/>
      <c r="H618" s="221"/>
      <c r="I618" s="221">
        <f t="shared" ref="I618:I717" si="6">SUM(E618:H618)</f>
        <v>0</v>
      </c>
      <c r="J618" s="447"/>
    </row>
    <row r="619" spans="1:11" ht="15">
      <c r="A619" s="217"/>
      <c r="B619" s="218"/>
      <c r="C619" s="446"/>
      <c r="D619" s="218"/>
      <c r="E619" s="222"/>
      <c r="F619" s="222"/>
      <c r="G619" s="221"/>
      <c r="H619" s="222"/>
      <c r="I619" s="221">
        <f t="shared" si="6"/>
        <v>0</v>
      </c>
      <c r="J619" s="447"/>
    </row>
    <row r="620" spans="1:11" ht="15">
      <c r="A620" s="217"/>
      <c r="B620" s="218"/>
      <c r="C620" s="446"/>
      <c r="D620" s="218"/>
      <c r="E620" s="221"/>
      <c r="F620" s="222"/>
      <c r="G620" s="221"/>
      <c r="H620" s="221"/>
      <c r="I620" s="221">
        <f t="shared" si="6"/>
        <v>0</v>
      </c>
      <c r="J620" s="447"/>
    </row>
    <row r="621" spans="1:11" ht="15">
      <c r="A621" s="217"/>
      <c r="B621" s="218"/>
      <c r="C621" s="446"/>
      <c r="D621" s="218"/>
      <c r="E621" s="221"/>
      <c r="F621" s="222"/>
      <c r="G621" s="221"/>
      <c r="H621" s="221"/>
      <c r="I621" s="221">
        <f t="shared" si="6"/>
        <v>0</v>
      </c>
      <c r="J621" s="447"/>
    </row>
    <row r="622" spans="1:11" ht="15">
      <c r="A622" s="217"/>
      <c r="B622" s="218"/>
      <c r="C622" s="446"/>
      <c r="D622" s="218"/>
      <c r="E622" s="222"/>
      <c r="F622" s="222"/>
      <c r="G622" s="221"/>
      <c r="H622" s="222"/>
      <c r="I622" s="221">
        <f t="shared" si="6"/>
        <v>0</v>
      </c>
      <c r="J622" s="447"/>
    </row>
    <row r="623" spans="1:11" ht="15">
      <c r="A623" s="217"/>
      <c r="B623" s="218"/>
      <c r="C623" s="446"/>
      <c r="D623" s="218"/>
      <c r="E623" s="221"/>
      <c r="F623" s="222"/>
      <c r="G623" s="221"/>
      <c r="H623" s="221"/>
      <c r="I623" s="221">
        <f t="shared" si="6"/>
        <v>0</v>
      </c>
      <c r="J623" s="447"/>
    </row>
    <row r="624" spans="1:11" ht="15">
      <c r="A624" s="217"/>
      <c r="B624" s="218"/>
      <c r="C624" s="446"/>
      <c r="D624" s="218"/>
      <c r="E624" s="221"/>
      <c r="F624" s="222"/>
      <c r="G624" s="221"/>
      <c r="H624" s="221"/>
      <c r="I624" s="221">
        <f t="shared" si="6"/>
        <v>0</v>
      </c>
      <c r="J624" s="447"/>
    </row>
    <row r="625" spans="1:10" ht="15">
      <c r="A625" s="217"/>
      <c r="B625" s="218"/>
      <c r="C625" s="446"/>
      <c r="D625" s="218"/>
      <c r="E625" s="221"/>
      <c r="F625" s="222"/>
      <c r="G625" s="221"/>
      <c r="H625" s="221"/>
      <c r="I625" s="221">
        <f t="shared" si="6"/>
        <v>0</v>
      </c>
      <c r="J625" s="447"/>
    </row>
    <row r="626" spans="1:10" ht="15">
      <c r="A626" s="217"/>
      <c r="B626" s="218"/>
      <c r="C626" s="446"/>
      <c r="D626" s="218"/>
      <c r="E626" s="222"/>
      <c r="F626" s="222"/>
      <c r="G626" s="221"/>
      <c r="H626" s="222"/>
      <c r="I626" s="221">
        <f t="shared" si="6"/>
        <v>0</v>
      </c>
      <c r="J626" s="447"/>
    </row>
    <row r="627" spans="1:10" ht="15">
      <c r="A627" s="217"/>
      <c r="B627" s="218"/>
      <c r="C627" s="446"/>
      <c r="D627" s="218"/>
      <c r="E627" s="222"/>
      <c r="F627" s="222"/>
      <c r="G627" s="221"/>
      <c r="H627" s="222"/>
      <c r="I627" s="221">
        <f t="shared" si="6"/>
        <v>0</v>
      </c>
      <c r="J627" s="447"/>
    </row>
    <row r="628" spans="1:10" ht="15">
      <c r="A628" s="217"/>
      <c r="B628" s="218"/>
      <c r="C628" s="446"/>
      <c r="D628" s="218"/>
      <c r="E628" s="221"/>
      <c r="F628" s="222"/>
      <c r="G628" s="221"/>
      <c r="H628" s="221"/>
      <c r="I628" s="221">
        <f t="shared" si="6"/>
        <v>0</v>
      </c>
      <c r="J628" s="447"/>
    </row>
    <row r="629" spans="1:10" ht="15">
      <c r="A629" s="217"/>
      <c r="B629" s="218"/>
      <c r="C629" s="446"/>
      <c r="D629" s="218"/>
      <c r="E629" s="221"/>
      <c r="F629" s="222"/>
      <c r="G629" s="221"/>
      <c r="H629" s="221"/>
      <c r="I629" s="221">
        <f t="shared" si="6"/>
        <v>0</v>
      </c>
      <c r="J629" s="447"/>
    </row>
    <row r="630" spans="1:10" ht="15">
      <c r="A630" s="217"/>
      <c r="B630" s="218"/>
      <c r="C630" s="446"/>
      <c r="D630" s="218"/>
      <c r="E630" s="221"/>
      <c r="F630" s="222"/>
      <c r="G630" s="221"/>
      <c r="H630" s="221"/>
      <c r="I630" s="221">
        <f t="shared" si="6"/>
        <v>0</v>
      </c>
      <c r="J630" s="447"/>
    </row>
    <row r="631" spans="1:10" ht="15">
      <c r="A631" s="217"/>
      <c r="B631" s="218"/>
      <c r="C631" s="446"/>
      <c r="D631" s="218"/>
      <c r="E631" s="222"/>
      <c r="F631" s="222"/>
      <c r="G631" s="221"/>
      <c r="H631" s="222"/>
      <c r="I631" s="221">
        <f t="shared" si="6"/>
        <v>0</v>
      </c>
      <c r="J631" s="447"/>
    </row>
    <row r="632" spans="1:10" ht="15">
      <c r="A632" s="217"/>
      <c r="B632" s="218"/>
      <c r="C632" s="446"/>
      <c r="D632" s="218"/>
      <c r="E632" s="222"/>
      <c r="F632" s="222"/>
      <c r="G632" s="221"/>
      <c r="H632" s="222"/>
      <c r="I632" s="221">
        <f t="shared" si="6"/>
        <v>0</v>
      </c>
      <c r="J632" s="447"/>
    </row>
    <row r="633" spans="1:10" ht="15">
      <c r="A633" s="217"/>
      <c r="B633" s="218"/>
      <c r="C633" s="446"/>
      <c r="D633" s="218"/>
      <c r="E633" s="222"/>
      <c r="F633" s="222"/>
      <c r="G633" s="221"/>
      <c r="H633" s="222"/>
      <c r="I633" s="221">
        <f t="shared" si="6"/>
        <v>0</v>
      </c>
      <c r="J633" s="447"/>
    </row>
    <row r="634" spans="1:10" ht="15">
      <c r="A634" s="217"/>
      <c r="B634" s="218"/>
      <c r="C634" s="446"/>
      <c r="D634" s="218"/>
      <c r="E634" s="222"/>
      <c r="F634" s="222"/>
      <c r="G634" s="221"/>
      <c r="H634" s="222"/>
      <c r="I634" s="221">
        <f t="shared" si="6"/>
        <v>0</v>
      </c>
      <c r="J634" s="447"/>
    </row>
    <row r="635" spans="1:10" ht="15">
      <c r="A635" s="217"/>
      <c r="B635" s="218"/>
      <c r="C635" s="446"/>
      <c r="D635" s="218"/>
      <c r="E635" s="222"/>
      <c r="F635" s="222"/>
      <c r="G635" s="221"/>
      <c r="H635" s="222"/>
      <c r="I635" s="221">
        <f t="shared" si="6"/>
        <v>0</v>
      </c>
      <c r="J635" s="447"/>
    </row>
    <row r="636" spans="1:10" ht="15">
      <c r="A636" s="217"/>
      <c r="B636" s="218"/>
      <c r="C636" s="446"/>
      <c r="D636" s="218"/>
      <c r="E636" s="222"/>
      <c r="F636" s="222"/>
      <c r="G636" s="221"/>
      <c r="H636" s="222"/>
      <c r="I636" s="221">
        <f t="shared" si="6"/>
        <v>0</v>
      </c>
      <c r="J636" s="447"/>
    </row>
    <row r="637" spans="1:10" ht="15">
      <c r="A637" s="217"/>
      <c r="B637" s="218"/>
      <c r="C637" s="446"/>
      <c r="D637" s="218"/>
      <c r="E637" s="222"/>
      <c r="F637" s="222"/>
      <c r="G637" s="221"/>
      <c r="H637" s="222"/>
      <c r="I637" s="221">
        <f t="shared" si="6"/>
        <v>0</v>
      </c>
      <c r="J637" s="447"/>
    </row>
    <row r="638" spans="1:10" ht="15">
      <c r="A638" s="217"/>
      <c r="B638" s="218"/>
      <c r="C638" s="446"/>
      <c r="D638" s="218"/>
      <c r="E638" s="221"/>
      <c r="F638" s="224"/>
      <c r="G638" s="224"/>
      <c r="H638" s="222"/>
      <c r="I638" s="221">
        <f t="shared" si="6"/>
        <v>0</v>
      </c>
      <c r="J638" s="447"/>
    </row>
    <row r="639" spans="1:10" ht="15">
      <c r="A639" s="217"/>
      <c r="B639" s="218"/>
      <c r="C639" s="446"/>
      <c r="D639" s="226"/>
      <c r="E639" s="221"/>
      <c r="F639" s="224"/>
      <c r="G639" s="224"/>
      <c r="H639" s="222"/>
      <c r="I639" s="221">
        <f t="shared" si="6"/>
        <v>0</v>
      </c>
      <c r="J639" s="447"/>
    </row>
    <row r="640" spans="1:10" ht="15">
      <c r="A640" s="217"/>
      <c r="B640" s="218"/>
      <c r="C640" s="446"/>
      <c r="D640" s="218"/>
      <c r="E640" s="221"/>
      <c r="F640" s="224"/>
      <c r="G640" s="224"/>
      <c r="H640" s="222"/>
      <c r="I640" s="221">
        <f t="shared" si="6"/>
        <v>0</v>
      </c>
      <c r="J640" s="447"/>
    </row>
    <row r="641" spans="1:10" ht="15">
      <c r="A641" s="217"/>
      <c r="B641" s="218"/>
      <c r="C641" s="446"/>
      <c r="D641" s="218"/>
      <c r="E641" s="221"/>
      <c r="F641" s="224"/>
      <c r="G641" s="224"/>
      <c r="H641" s="222"/>
      <c r="I641" s="221">
        <f t="shared" si="6"/>
        <v>0</v>
      </c>
      <c r="J641" s="447"/>
    </row>
    <row r="642" spans="1:10" ht="15">
      <c r="A642" s="217"/>
      <c r="B642" s="218"/>
      <c r="C642" s="446"/>
      <c r="D642" s="218"/>
      <c r="E642" s="221"/>
      <c r="F642" s="224"/>
      <c r="G642" s="224"/>
      <c r="H642" s="222"/>
      <c r="I642" s="221">
        <f t="shared" si="6"/>
        <v>0</v>
      </c>
      <c r="J642" s="447"/>
    </row>
    <row r="643" spans="1:10" ht="15">
      <c r="A643" s="217"/>
      <c r="B643" s="218"/>
      <c r="C643" s="446"/>
      <c r="D643" s="218"/>
      <c r="E643" s="221"/>
      <c r="F643" s="224"/>
      <c r="G643" s="224"/>
      <c r="H643" s="222"/>
      <c r="I643" s="221">
        <f t="shared" si="6"/>
        <v>0</v>
      </c>
      <c r="J643" s="447"/>
    </row>
    <row r="644" spans="1:10" ht="15">
      <c r="A644" s="217"/>
      <c r="B644" s="218"/>
      <c r="C644" s="446"/>
      <c r="D644" s="218"/>
      <c r="E644" s="221"/>
      <c r="F644" s="224"/>
      <c r="G644" s="224"/>
      <c r="H644" s="222"/>
      <c r="I644" s="221">
        <f t="shared" si="6"/>
        <v>0</v>
      </c>
      <c r="J644" s="447"/>
    </row>
    <row r="645" spans="1:10" ht="15">
      <c r="A645" s="217"/>
      <c r="B645" s="218"/>
      <c r="C645" s="446"/>
      <c r="D645" s="218"/>
      <c r="E645" s="221"/>
      <c r="F645" s="224"/>
      <c r="G645" s="224"/>
      <c r="H645" s="222"/>
      <c r="I645" s="221">
        <f t="shared" si="6"/>
        <v>0</v>
      </c>
      <c r="J645" s="447"/>
    </row>
    <row r="646" spans="1:10" ht="15">
      <c r="A646" s="217"/>
      <c r="B646" s="218"/>
      <c r="C646" s="446"/>
      <c r="D646" s="218"/>
      <c r="E646" s="221"/>
      <c r="F646" s="224"/>
      <c r="G646" s="224"/>
      <c r="H646" s="222"/>
      <c r="I646" s="221">
        <f t="shared" si="6"/>
        <v>0</v>
      </c>
      <c r="J646" s="447"/>
    </row>
    <row r="647" spans="1:10" ht="15">
      <c r="A647" s="217"/>
      <c r="B647" s="218"/>
      <c r="C647" s="446"/>
      <c r="D647" s="218"/>
      <c r="E647" s="221"/>
      <c r="F647" s="224"/>
      <c r="G647" s="224"/>
      <c r="H647" s="222"/>
      <c r="I647" s="221">
        <f t="shared" si="6"/>
        <v>0</v>
      </c>
      <c r="J647" s="447"/>
    </row>
    <row r="648" spans="1:10" ht="15">
      <c r="A648" s="217"/>
      <c r="B648" s="218"/>
      <c r="C648" s="446"/>
      <c r="D648" s="218"/>
      <c r="E648" s="221"/>
      <c r="F648" s="224"/>
      <c r="G648" s="224"/>
      <c r="H648" s="222"/>
      <c r="I648" s="221">
        <f t="shared" si="6"/>
        <v>0</v>
      </c>
      <c r="J648" s="447"/>
    </row>
    <row r="649" spans="1:10" ht="15">
      <c r="A649" s="217"/>
      <c r="B649" s="218"/>
      <c r="C649" s="446"/>
      <c r="D649" s="218"/>
      <c r="E649" s="221"/>
      <c r="F649" s="224"/>
      <c r="G649" s="224"/>
      <c r="H649" s="222"/>
      <c r="I649" s="221">
        <f t="shared" si="6"/>
        <v>0</v>
      </c>
      <c r="J649" s="447"/>
    </row>
    <row r="650" spans="1:10" ht="15">
      <c r="A650" s="217"/>
      <c r="B650" s="218"/>
      <c r="C650" s="446"/>
      <c r="D650" s="218"/>
      <c r="E650" s="221"/>
      <c r="F650" s="224"/>
      <c r="G650" s="224"/>
      <c r="H650" s="222"/>
      <c r="I650" s="221">
        <f t="shared" si="6"/>
        <v>0</v>
      </c>
      <c r="J650" s="447"/>
    </row>
    <row r="651" spans="1:10" ht="15">
      <c r="A651" s="217"/>
      <c r="B651" s="218"/>
      <c r="C651" s="446"/>
      <c r="D651" s="218"/>
      <c r="E651" s="221"/>
      <c r="F651" s="224"/>
      <c r="G651" s="224"/>
      <c r="H651" s="222"/>
      <c r="I651" s="221">
        <f t="shared" si="6"/>
        <v>0</v>
      </c>
      <c r="J651" s="447"/>
    </row>
    <row r="652" spans="1:10" ht="15">
      <c r="A652" s="217"/>
      <c r="B652" s="218"/>
      <c r="C652" s="446"/>
      <c r="D652" s="218"/>
      <c r="E652" s="221"/>
      <c r="F652" s="224"/>
      <c r="G652" s="224"/>
      <c r="H652" s="222"/>
      <c r="I652" s="221">
        <f t="shared" si="6"/>
        <v>0</v>
      </c>
      <c r="J652" s="447"/>
    </row>
    <row r="653" spans="1:10" ht="15">
      <c r="A653" s="217"/>
      <c r="B653" s="218"/>
      <c r="C653" s="446"/>
      <c r="D653" s="218"/>
      <c r="E653" s="221"/>
      <c r="F653" s="224"/>
      <c r="G653" s="224"/>
      <c r="H653" s="222"/>
      <c r="I653" s="221">
        <f t="shared" si="6"/>
        <v>0</v>
      </c>
      <c r="J653" s="447"/>
    </row>
    <row r="654" spans="1:10" ht="15">
      <c r="A654" s="217"/>
      <c r="B654" s="218"/>
      <c r="C654" s="446"/>
      <c r="D654" s="218"/>
      <c r="E654" s="221"/>
      <c r="F654" s="224"/>
      <c r="G654" s="224"/>
      <c r="H654" s="222"/>
      <c r="I654" s="221">
        <f t="shared" si="6"/>
        <v>0</v>
      </c>
      <c r="J654" s="447"/>
    </row>
    <row r="655" spans="1:10" ht="15">
      <c r="A655" s="217"/>
      <c r="B655" s="218"/>
      <c r="C655" s="446"/>
      <c r="D655" s="218"/>
      <c r="E655" s="221"/>
      <c r="F655" s="224"/>
      <c r="G655" s="224"/>
      <c r="H655" s="222"/>
      <c r="I655" s="221">
        <f t="shared" si="6"/>
        <v>0</v>
      </c>
      <c r="J655" s="447"/>
    </row>
    <row r="656" spans="1:10" ht="15">
      <c r="A656" s="217"/>
      <c r="B656" s="218"/>
      <c r="C656" s="446"/>
      <c r="D656" s="226"/>
      <c r="E656" s="221"/>
      <c r="F656" s="224"/>
      <c r="G656" s="224"/>
      <c r="H656" s="222"/>
      <c r="I656" s="221">
        <f t="shared" si="6"/>
        <v>0</v>
      </c>
      <c r="J656" s="447"/>
    </row>
    <row r="657" spans="1:10" ht="15">
      <c r="A657" s="217"/>
      <c r="B657" s="218"/>
      <c r="C657" s="446"/>
      <c r="D657" s="218"/>
      <c r="E657" s="221"/>
      <c r="F657" s="224"/>
      <c r="G657" s="224"/>
      <c r="H657" s="222"/>
      <c r="I657" s="221">
        <f t="shared" si="6"/>
        <v>0</v>
      </c>
      <c r="J657" s="447"/>
    </row>
    <row r="658" spans="1:10" ht="15">
      <c r="A658" s="217"/>
      <c r="B658" s="218"/>
      <c r="C658" s="446"/>
      <c r="D658" s="218"/>
      <c r="E658" s="221"/>
      <c r="F658" s="224"/>
      <c r="G658" s="224"/>
      <c r="H658" s="222"/>
      <c r="I658" s="221">
        <f t="shared" si="6"/>
        <v>0</v>
      </c>
      <c r="J658" s="447"/>
    </row>
    <row r="659" spans="1:10" ht="15">
      <c r="A659" s="217"/>
      <c r="B659" s="218"/>
      <c r="C659" s="446"/>
      <c r="D659" s="218"/>
      <c r="E659" s="221"/>
      <c r="F659" s="224"/>
      <c r="G659" s="224"/>
      <c r="H659" s="222"/>
      <c r="I659" s="221">
        <f t="shared" si="6"/>
        <v>0</v>
      </c>
      <c r="J659" s="447"/>
    </row>
    <row r="660" spans="1:10" ht="15">
      <c r="A660" s="217"/>
      <c r="B660" s="218"/>
      <c r="C660" s="446"/>
      <c r="D660" s="218"/>
      <c r="E660" s="221"/>
      <c r="F660" s="224"/>
      <c r="G660" s="224"/>
      <c r="H660" s="222"/>
      <c r="I660" s="221">
        <f t="shared" si="6"/>
        <v>0</v>
      </c>
      <c r="J660" s="447"/>
    </row>
    <row r="661" spans="1:10" ht="15">
      <c r="A661" s="217"/>
      <c r="B661" s="218"/>
      <c r="C661" s="446"/>
      <c r="D661" s="218"/>
      <c r="E661" s="221"/>
      <c r="F661" s="224"/>
      <c r="G661" s="224"/>
      <c r="H661" s="222"/>
      <c r="I661" s="221">
        <f t="shared" si="6"/>
        <v>0</v>
      </c>
      <c r="J661" s="447"/>
    </row>
    <row r="662" spans="1:10" ht="15">
      <c r="A662" s="217"/>
      <c r="B662" s="218"/>
      <c r="C662" s="446"/>
      <c r="D662" s="218"/>
      <c r="E662" s="221"/>
      <c r="F662" s="224"/>
      <c r="G662" s="224"/>
      <c r="H662" s="222"/>
      <c r="I662" s="221">
        <f t="shared" si="6"/>
        <v>0</v>
      </c>
      <c r="J662" s="447"/>
    </row>
    <row r="663" spans="1:10" ht="15">
      <c r="A663" s="217"/>
      <c r="B663" s="218"/>
      <c r="C663" s="446"/>
      <c r="D663" s="218"/>
      <c r="E663" s="221"/>
      <c r="F663" s="224"/>
      <c r="G663" s="224"/>
      <c r="H663" s="222"/>
      <c r="I663" s="221">
        <f t="shared" si="6"/>
        <v>0</v>
      </c>
      <c r="J663" s="447"/>
    </row>
    <row r="664" spans="1:10" ht="15">
      <c r="A664" s="217"/>
      <c r="B664" s="218"/>
      <c r="C664" s="446"/>
      <c r="D664" s="218"/>
      <c r="E664" s="221"/>
      <c r="F664" s="448"/>
      <c r="G664" s="448"/>
      <c r="H664" s="222"/>
      <c r="I664" s="221">
        <f t="shared" si="6"/>
        <v>0</v>
      </c>
      <c r="J664" s="447"/>
    </row>
    <row r="665" spans="1:10" ht="15">
      <c r="A665" s="217"/>
      <c r="B665" s="218"/>
      <c r="C665" s="446"/>
      <c r="D665" s="218"/>
      <c r="E665" s="221"/>
      <c r="F665" s="448"/>
      <c r="G665" s="448"/>
      <c r="H665" s="222"/>
      <c r="I665" s="221">
        <f t="shared" si="6"/>
        <v>0</v>
      </c>
      <c r="J665" s="447"/>
    </row>
    <row r="666" spans="1:10" ht="15">
      <c r="A666" s="217"/>
      <c r="B666" s="218"/>
      <c r="C666" s="446"/>
      <c r="D666" s="218"/>
      <c r="E666" s="221"/>
      <c r="F666" s="448"/>
      <c r="G666" s="448"/>
      <c r="H666" s="222"/>
      <c r="I666" s="221">
        <f t="shared" si="6"/>
        <v>0</v>
      </c>
      <c r="J666" s="447"/>
    </row>
    <row r="667" spans="1:10" ht="15">
      <c r="A667" s="217"/>
      <c r="B667" s="218"/>
      <c r="C667" s="446"/>
      <c r="D667" s="218"/>
      <c r="E667" s="221"/>
      <c r="F667" s="448"/>
      <c r="G667" s="448"/>
      <c r="H667" s="222"/>
      <c r="I667" s="221">
        <f t="shared" si="6"/>
        <v>0</v>
      </c>
      <c r="J667" s="447"/>
    </row>
    <row r="668" spans="1:10" ht="15">
      <c r="A668" s="217"/>
      <c r="B668" s="218"/>
      <c r="C668" s="446"/>
      <c r="D668" s="218"/>
      <c r="E668" s="221"/>
      <c r="F668" s="448"/>
      <c r="G668" s="448"/>
      <c r="H668" s="222"/>
      <c r="I668" s="221">
        <f t="shared" si="6"/>
        <v>0</v>
      </c>
      <c r="J668" s="447"/>
    </row>
    <row r="669" spans="1:10" ht="15">
      <c r="A669" s="217"/>
      <c r="B669" s="218"/>
      <c r="C669" s="446"/>
      <c r="D669" s="218"/>
      <c r="E669" s="221"/>
      <c r="F669" s="448"/>
      <c r="G669" s="448"/>
      <c r="H669" s="222"/>
      <c r="I669" s="221">
        <f t="shared" si="6"/>
        <v>0</v>
      </c>
      <c r="J669" s="447"/>
    </row>
    <row r="670" spans="1:10" ht="15">
      <c r="A670" s="217"/>
      <c r="B670" s="218"/>
      <c r="C670" s="446"/>
      <c r="D670" s="218"/>
      <c r="E670" s="221"/>
      <c r="F670" s="448"/>
      <c r="G670" s="448"/>
      <c r="H670" s="222"/>
      <c r="I670" s="221">
        <f t="shared" si="6"/>
        <v>0</v>
      </c>
      <c r="J670" s="447"/>
    </row>
    <row r="671" spans="1:10" ht="15">
      <c r="A671" s="217"/>
      <c r="B671" s="218"/>
      <c r="C671" s="446"/>
      <c r="D671" s="218"/>
      <c r="E671" s="221"/>
      <c r="F671" s="448"/>
      <c r="G671" s="448"/>
      <c r="H671" s="222"/>
      <c r="I671" s="221">
        <f t="shared" si="6"/>
        <v>0</v>
      </c>
      <c r="J671" s="447"/>
    </row>
    <row r="672" spans="1:10" ht="15">
      <c r="A672" s="217"/>
      <c r="B672" s="218"/>
      <c r="C672" s="446"/>
      <c r="D672" s="218"/>
      <c r="E672" s="221"/>
      <c r="F672" s="448"/>
      <c r="G672" s="448"/>
      <c r="H672" s="222"/>
      <c r="I672" s="221">
        <f t="shared" si="6"/>
        <v>0</v>
      </c>
      <c r="J672" s="447"/>
    </row>
    <row r="673" spans="1:10" ht="15">
      <c r="A673" s="217"/>
      <c r="B673" s="218"/>
      <c r="C673" s="446"/>
      <c r="D673" s="218"/>
      <c r="E673" s="221"/>
      <c r="F673" s="448"/>
      <c r="G673" s="448"/>
      <c r="H673" s="222"/>
      <c r="I673" s="221">
        <f t="shared" si="6"/>
        <v>0</v>
      </c>
      <c r="J673" s="447"/>
    </row>
    <row r="674" spans="1:10" ht="15">
      <c r="A674" s="217"/>
      <c r="B674" s="218"/>
      <c r="C674" s="446"/>
      <c r="D674" s="218"/>
      <c r="E674" s="221"/>
      <c r="F674" s="448"/>
      <c r="G674" s="448"/>
      <c r="H674" s="222"/>
      <c r="I674" s="221">
        <f t="shared" si="6"/>
        <v>0</v>
      </c>
      <c r="J674" s="447"/>
    </row>
    <row r="675" spans="1:10" ht="15">
      <c r="A675" s="217"/>
      <c r="B675" s="218"/>
      <c r="C675" s="446"/>
      <c r="D675" s="218"/>
      <c r="E675" s="221"/>
      <c r="F675" s="448"/>
      <c r="G675" s="448"/>
      <c r="H675" s="222"/>
      <c r="I675" s="221">
        <f t="shared" si="6"/>
        <v>0</v>
      </c>
      <c r="J675" s="447"/>
    </row>
    <row r="676" spans="1:10" ht="15">
      <c r="A676" s="217"/>
      <c r="B676" s="218"/>
      <c r="C676" s="446"/>
      <c r="D676" s="218"/>
      <c r="E676" s="221"/>
      <c r="F676" s="448"/>
      <c r="G676" s="448"/>
      <c r="H676" s="222"/>
      <c r="I676" s="221">
        <f t="shared" si="6"/>
        <v>0</v>
      </c>
      <c r="J676" s="447"/>
    </row>
    <row r="677" spans="1:10" ht="15">
      <c r="A677" s="217"/>
      <c r="B677" s="218"/>
      <c r="C677" s="446"/>
      <c r="D677" s="218"/>
      <c r="E677" s="221"/>
      <c r="F677" s="448"/>
      <c r="G677" s="448"/>
      <c r="H677" s="222"/>
      <c r="I677" s="221">
        <f t="shared" si="6"/>
        <v>0</v>
      </c>
      <c r="J677" s="447"/>
    </row>
    <row r="678" spans="1:10" ht="15">
      <c r="A678" s="217"/>
      <c r="B678" s="218"/>
      <c r="C678" s="446"/>
      <c r="D678" s="218"/>
      <c r="E678" s="221"/>
      <c r="F678" s="448"/>
      <c r="G678" s="448"/>
      <c r="H678" s="222"/>
      <c r="I678" s="221">
        <f t="shared" si="6"/>
        <v>0</v>
      </c>
      <c r="J678" s="447"/>
    </row>
    <row r="679" spans="1:10" ht="15">
      <c r="A679" s="217"/>
      <c r="B679" s="218"/>
      <c r="C679" s="446"/>
      <c r="D679" s="218"/>
      <c r="E679" s="221"/>
      <c r="F679" s="448"/>
      <c r="G679" s="448"/>
      <c r="H679" s="222"/>
      <c r="I679" s="221">
        <f t="shared" si="6"/>
        <v>0</v>
      </c>
      <c r="J679" s="447"/>
    </row>
    <row r="680" spans="1:10" ht="15">
      <c r="A680" s="217"/>
      <c r="B680" s="218"/>
      <c r="C680" s="446"/>
      <c r="D680" s="218"/>
      <c r="E680" s="221"/>
      <c r="F680" s="448"/>
      <c r="G680" s="448"/>
      <c r="H680" s="222"/>
      <c r="I680" s="221">
        <f t="shared" si="6"/>
        <v>0</v>
      </c>
      <c r="J680" s="447"/>
    </row>
    <row r="681" spans="1:10" ht="15">
      <c r="A681" s="217"/>
      <c r="B681" s="218"/>
      <c r="C681" s="446"/>
      <c r="D681" s="218"/>
      <c r="E681" s="221"/>
      <c r="F681" s="448"/>
      <c r="G681" s="448"/>
      <c r="H681" s="222"/>
      <c r="I681" s="221">
        <f t="shared" si="6"/>
        <v>0</v>
      </c>
      <c r="J681" s="447"/>
    </row>
    <row r="682" spans="1:10" ht="15">
      <c r="A682" s="217"/>
      <c r="B682" s="218"/>
      <c r="C682" s="446"/>
      <c r="D682" s="218"/>
      <c r="E682" s="221"/>
      <c r="F682" s="448"/>
      <c r="G682" s="448"/>
      <c r="H682" s="222"/>
      <c r="I682" s="221">
        <f t="shared" si="6"/>
        <v>0</v>
      </c>
      <c r="J682" s="447"/>
    </row>
    <row r="683" spans="1:10" ht="15">
      <c r="A683" s="217"/>
      <c r="B683" s="218"/>
      <c r="C683" s="446"/>
      <c r="D683" s="218"/>
      <c r="E683" s="221"/>
      <c r="F683" s="448"/>
      <c r="G683" s="448"/>
      <c r="H683" s="222"/>
      <c r="I683" s="221">
        <f t="shared" si="6"/>
        <v>0</v>
      </c>
      <c r="J683" s="447"/>
    </row>
    <row r="684" spans="1:10" ht="15">
      <c r="A684" s="217"/>
      <c r="B684" s="218"/>
      <c r="C684" s="446"/>
      <c r="D684" s="218"/>
      <c r="E684" s="221"/>
      <c r="F684" s="448"/>
      <c r="G684" s="448"/>
      <c r="H684" s="222"/>
      <c r="I684" s="221">
        <f t="shared" si="6"/>
        <v>0</v>
      </c>
      <c r="J684" s="447"/>
    </row>
    <row r="685" spans="1:10" ht="15">
      <c r="A685" s="217"/>
      <c r="B685" s="218"/>
      <c r="C685" s="446"/>
      <c r="D685" s="218"/>
      <c r="E685" s="221"/>
      <c r="F685" s="448"/>
      <c r="G685" s="448"/>
      <c r="H685" s="222"/>
      <c r="I685" s="221">
        <f t="shared" si="6"/>
        <v>0</v>
      </c>
      <c r="J685" s="447"/>
    </row>
    <row r="686" spans="1:10" ht="15">
      <c r="A686" s="217"/>
      <c r="B686" s="218"/>
      <c r="C686" s="446"/>
      <c r="D686" s="218"/>
      <c r="E686" s="221"/>
      <c r="F686" s="448"/>
      <c r="G686" s="448"/>
      <c r="H686" s="222"/>
      <c r="I686" s="221">
        <f t="shared" si="6"/>
        <v>0</v>
      </c>
      <c r="J686" s="447"/>
    </row>
    <row r="687" spans="1:10" ht="15">
      <c r="A687" s="217"/>
      <c r="B687" s="218"/>
      <c r="C687" s="446"/>
      <c r="D687" s="218"/>
      <c r="E687" s="221"/>
      <c r="F687" s="448"/>
      <c r="G687" s="448"/>
      <c r="H687" s="222"/>
      <c r="I687" s="221">
        <f t="shared" si="6"/>
        <v>0</v>
      </c>
      <c r="J687" s="447"/>
    </row>
    <row r="688" spans="1:10" ht="15">
      <c r="A688" s="217"/>
      <c r="B688" s="218"/>
      <c r="C688" s="446"/>
      <c r="D688" s="218"/>
      <c r="E688" s="221"/>
      <c r="F688" s="448"/>
      <c r="G688" s="448"/>
      <c r="H688" s="222"/>
      <c r="I688" s="221">
        <f t="shared" si="6"/>
        <v>0</v>
      </c>
      <c r="J688" s="447"/>
    </row>
    <row r="689" spans="1:10" ht="15">
      <c r="A689" s="217"/>
      <c r="B689" s="218"/>
      <c r="C689" s="446"/>
      <c r="D689" s="218"/>
      <c r="E689" s="221"/>
      <c r="F689" s="448"/>
      <c r="G689" s="448"/>
      <c r="H689" s="222"/>
      <c r="I689" s="221">
        <f t="shared" si="6"/>
        <v>0</v>
      </c>
      <c r="J689" s="447"/>
    </row>
    <row r="690" spans="1:10" ht="15">
      <c r="A690" s="217"/>
      <c r="B690" s="218"/>
      <c r="C690" s="446"/>
      <c r="D690" s="218"/>
      <c r="E690" s="221"/>
      <c r="F690" s="448"/>
      <c r="G690" s="448"/>
      <c r="H690" s="222"/>
      <c r="I690" s="221">
        <f t="shared" si="6"/>
        <v>0</v>
      </c>
      <c r="J690" s="447"/>
    </row>
    <row r="691" spans="1:10" ht="15">
      <c r="A691" s="217"/>
      <c r="B691" s="218"/>
      <c r="C691" s="446"/>
      <c r="D691" s="218"/>
      <c r="E691" s="221"/>
      <c r="F691" s="448"/>
      <c r="G691" s="448"/>
      <c r="H691" s="222"/>
      <c r="I691" s="221">
        <f t="shared" si="6"/>
        <v>0</v>
      </c>
      <c r="J691" s="447"/>
    </row>
    <row r="692" spans="1:10" ht="15">
      <c r="A692" s="217"/>
      <c r="B692" s="218"/>
      <c r="C692" s="446"/>
      <c r="D692" s="218"/>
      <c r="E692" s="221"/>
      <c r="F692" s="448"/>
      <c r="G692" s="448"/>
      <c r="H692" s="222"/>
      <c r="I692" s="221">
        <f t="shared" si="6"/>
        <v>0</v>
      </c>
      <c r="J692" s="447"/>
    </row>
    <row r="693" spans="1:10" ht="15">
      <c r="A693" s="217"/>
      <c r="B693" s="218"/>
      <c r="C693" s="446"/>
      <c r="D693" s="218"/>
      <c r="E693" s="221"/>
      <c r="F693" s="448"/>
      <c r="G693" s="448"/>
      <c r="H693" s="222"/>
      <c r="I693" s="221">
        <f t="shared" si="6"/>
        <v>0</v>
      </c>
      <c r="J693" s="447"/>
    </row>
    <row r="694" spans="1:10" ht="15">
      <c r="A694" s="217"/>
      <c r="B694" s="218"/>
      <c r="C694" s="446"/>
      <c r="D694" s="218"/>
      <c r="E694" s="221"/>
      <c r="F694" s="448"/>
      <c r="G694" s="448"/>
      <c r="H694" s="222"/>
      <c r="I694" s="221">
        <f t="shared" si="6"/>
        <v>0</v>
      </c>
      <c r="J694" s="447"/>
    </row>
    <row r="695" spans="1:10" ht="15">
      <c r="A695" s="217"/>
      <c r="B695" s="218"/>
      <c r="C695" s="446"/>
      <c r="D695" s="218"/>
      <c r="E695" s="221"/>
      <c r="F695" s="448"/>
      <c r="G695" s="448"/>
      <c r="H695" s="222"/>
      <c r="I695" s="221">
        <f t="shared" si="6"/>
        <v>0</v>
      </c>
      <c r="J695" s="447"/>
    </row>
    <row r="696" spans="1:10" ht="15">
      <c r="A696" s="217"/>
      <c r="B696" s="218"/>
      <c r="C696" s="446"/>
      <c r="D696" s="218"/>
      <c r="E696" s="221"/>
      <c r="F696" s="448"/>
      <c r="G696" s="448"/>
      <c r="H696" s="222"/>
      <c r="I696" s="221">
        <f t="shared" si="6"/>
        <v>0</v>
      </c>
      <c r="J696" s="447"/>
    </row>
    <row r="697" spans="1:10" ht="15">
      <c r="A697" s="217"/>
      <c r="B697" s="218"/>
      <c r="C697" s="446"/>
      <c r="D697" s="218"/>
      <c r="E697" s="221"/>
      <c r="F697" s="448"/>
      <c r="G697" s="448"/>
      <c r="H697" s="222"/>
      <c r="I697" s="221">
        <f t="shared" si="6"/>
        <v>0</v>
      </c>
      <c r="J697" s="447"/>
    </row>
    <row r="698" spans="1:10" ht="15">
      <c r="A698" s="217"/>
      <c r="B698" s="218"/>
      <c r="C698" s="446"/>
      <c r="D698" s="218"/>
      <c r="E698" s="221"/>
      <c r="F698" s="448"/>
      <c r="G698" s="448"/>
      <c r="H698" s="222"/>
      <c r="I698" s="221">
        <f t="shared" si="6"/>
        <v>0</v>
      </c>
      <c r="J698" s="447"/>
    </row>
    <row r="699" spans="1:10" ht="15">
      <c r="A699" s="217"/>
      <c r="B699" s="218"/>
      <c r="C699" s="446"/>
      <c r="D699" s="218"/>
      <c r="E699" s="221"/>
      <c r="F699" s="448"/>
      <c r="G699" s="448"/>
      <c r="H699" s="222"/>
      <c r="I699" s="221">
        <f t="shared" si="6"/>
        <v>0</v>
      </c>
      <c r="J699" s="447"/>
    </row>
    <row r="700" spans="1:10" ht="15">
      <c r="A700" s="217"/>
      <c r="B700" s="218"/>
      <c r="C700" s="446"/>
      <c r="D700" s="218"/>
      <c r="E700" s="221"/>
      <c r="F700" s="448"/>
      <c r="G700" s="448"/>
      <c r="H700" s="222"/>
      <c r="I700" s="221">
        <f t="shared" si="6"/>
        <v>0</v>
      </c>
      <c r="J700" s="447"/>
    </row>
    <row r="701" spans="1:10" ht="15">
      <c r="A701" s="217"/>
      <c r="B701" s="218"/>
      <c r="C701" s="446"/>
      <c r="D701" s="218"/>
      <c r="E701" s="221"/>
      <c r="F701" s="448"/>
      <c r="G701" s="448"/>
      <c r="H701" s="222"/>
      <c r="I701" s="221">
        <f t="shared" si="6"/>
        <v>0</v>
      </c>
      <c r="J701" s="447"/>
    </row>
    <row r="702" spans="1:10" ht="15">
      <c r="A702" s="217"/>
      <c r="B702" s="218"/>
      <c r="C702" s="446"/>
      <c r="D702" s="218"/>
      <c r="E702" s="221"/>
      <c r="F702" s="448"/>
      <c r="G702" s="448"/>
      <c r="H702" s="222"/>
      <c r="I702" s="221">
        <f t="shared" si="6"/>
        <v>0</v>
      </c>
      <c r="J702" s="447"/>
    </row>
    <row r="703" spans="1:10" ht="15">
      <c r="A703" s="217"/>
      <c r="B703" s="218"/>
      <c r="C703" s="446"/>
      <c r="D703" s="218"/>
      <c r="E703" s="221"/>
      <c r="F703" s="448"/>
      <c r="G703" s="448"/>
      <c r="H703" s="222"/>
      <c r="I703" s="221">
        <f t="shared" si="6"/>
        <v>0</v>
      </c>
      <c r="J703" s="447"/>
    </row>
    <row r="704" spans="1:10" ht="15">
      <c r="A704" s="217"/>
      <c r="B704" s="218"/>
      <c r="C704" s="446"/>
      <c r="D704" s="218"/>
      <c r="E704" s="221"/>
      <c r="F704" s="448"/>
      <c r="G704" s="448"/>
      <c r="H704" s="222"/>
      <c r="I704" s="221">
        <f t="shared" si="6"/>
        <v>0</v>
      </c>
      <c r="J704" s="447"/>
    </row>
    <row r="705" spans="1:11" ht="15">
      <c r="A705" s="217"/>
      <c r="B705" s="218"/>
      <c r="C705" s="446"/>
      <c r="D705" s="218"/>
      <c r="E705" s="221"/>
      <c r="F705" s="448"/>
      <c r="G705" s="448"/>
      <c r="H705" s="222"/>
      <c r="I705" s="221">
        <f t="shared" si="6"/>
        <v>0</v>
      </c>
      <c r="J705" s="447"/>
    </row>
    <row r="706" spans="1:11" ht="15">
      <c r="A706" s="217"/>
      <c r="B706" s="218"/>
      <c r="C706" s="446"/>
      <c r="D706" s="218"/>
      <c r="E706" s="221"/>
      <c r="F706" s="448"/>
      <c r="G706" s="448"/>
      <c r="H706" s="222"/>
      <c r="I706" s="221">
        <f t="shared" si="6"/>
        <v>0</v>
      </c>
      <c r="J706" s="447"/>
    </row>
    <row r="707" spans="1:11" ht="15">
      <c r="A707" s="217"/>
      <c r="B707" s="218"/>
      <c r="C707" s="446"/>
      <c r="D707" s="218"/>
      <c r="E707" s="221"/>
      <c r="F707" s="448"/>
      <c r="G707" s="448"/>
      <c r="H707" s="222"/>
      <c r="I707" s="221">
        <f t="shared" si="6"/>
        <v>0</v>
      </c>
      <c r="J707" s="447"/>
    </row>
    <row r="708" spans="1:11" ht="15">
      <c r="A708" s="217"/>
      <c r="B708" s="218"/>
      <c r="C708" s="446"/>
      <c r="D708" s="218"/>
      <c r="E708" s="221"/>
      <c r="F708" s="448"/>
      <c r="G708" s="448"/>
      <c r="H708" s="222"/>
      <c r="I708" s="221">
        <f t="shared" si="6"/>
        <v>0</v>
      </c>
      <c r="J708" s="447"/>
    </row>
    <row r="709" spans="1:11" ht="15">
      <c r="A709" s="217"/>
      <c r="B709" s="218"/>
      <c r="C709" s="446"/>
      <c r="D709" s="218"/>
      <c r="E709" s="221"/>
      <c r="F709" s="448"/>
      <c r="G709" s="448"/>
      <c r="H709" s="222"/>
      <c r="I709" s="221">
        <f t="shared" si="6"/>
        <v>0</v>
      </c>
      <c r="J709" s="447"/>
    </row>
    <row r="710" spans="1:11" ht="15">
      <c r="A710" s="217"/>
      <c r="B710" s="218"/>
      <c r="C710" s="446"/>
      <c r="D710" s="218"/>
      <c r="E710" s="221"/>
      <c r="F710" s="448"/>
      <c r="G710" s="448"/>
      <c r="H710" s="222"/>
      <c r="I710" s="221">
        <f t="shared" si="6"/>
        <v>0</v>
      </c>
      <c r="J710" s="447"/>
    </row>
    <row r="711" spans="1:11" ht="15">
      <c r="A711" s="217"/>
      <c r="B711" s="218"/>
      <c r="C711" s="446"/>
      <c r="D711" s="218"/>
      <c r="E711" s="221"/>
      <c r="F711" s="448"/>
      <c r="G711" s="448"/>
      <c r="H711" s="222"/>
      <c r="I711" s="221">
        <f t="shared" si="6"/>
        <v>0</v>
      </c>
      <c r="J711" s="447"/>
    </row>
    <row r="712" spans="1:11" ht="15">
      <c r="A712" s="217"/>
      <c r="B712" s="218"/>
      <c r="C712" s="446"/>
      <c r="D712" s="218"/>
      <c r="E712" s="221"/>
      <c r="F712" s="448"/>
      <c r="G712" s="448"/>
      <c r="H712" s="222"/>
      <c r="I712" s="221">
        <f t="shared" si="6"/>
        <v>0</v>
      </c>
      <c r="J712" s="447"/>
    </row>
    <row r="713" spans="1:11" ht="15">
      <c r="A713" s="217"/>
      <c r="B713" s="218"/>
      <c r="C713" s="446"/>
      <c r="D713" s="218"/>
      <c r="E713" s="221"/>
      <c r="F713" s="448"/>
      <c r="G713" s="448"/>
      <c r="H713" s="222"/>
      <c r="I713" s="221">
        <f t="shared" si="6"/>
        <v>0</v>
      </c>
      <c r="J713" s="447"/>
    </row>
    <row r="714" spans="1:11">
      <c r="A714" s="217"/>
      <c r="B714" s="218"/>
      <c r="C714" s="446"/>
      <c r="D714" s="218"/>
      <c r="E714" s="221"/>
      <c r="F714" s="448"/>
      <c r="G714" s="448"/>
      <c r="H714" s="222"/>
      <c r="I714" s="221">
        <f t="shared" si="6"/>
        <v>0</v>
      </c>
      <c r="J714" s="218" t="s">
        <v>56</v>
      </c>
      <c r="K714" s="449">
        <f>SUM(E618:E717)</f>
        <v>0</v>
      </c>
    </row>
    <row r="715" spans="1:11">
      <c r="A715" s="217"/>
      <c r="B715" s="218"/>
      <c r="C715" s="446"/>
      <c r="D715" s="218"/>
      <c r="E715" s="221"/>
      <c r="F715" s="448"/>
      <c r="G715" s="448"/>
      <c r="H715" s="222"/>
      <c r="I715" s="221">
        <f t="shared" si="6"/>
        <v>0</v>
      </c>
      <c r="J715" s="218" t="s">
        <v>160</v>
      </c>
      <c r="K715" s="449">
        <f>SUM(F618:F717)</f>
        <v>0</v>
      </c>
    </row>
    <row r="716" spans="1:11">
      <c r="A716" s="217"/>
      <c r="B716" s="218"/>
      <c r="C716" s="446"/>
      <c r="D716" s="218"/>
      <c r="E716" s="221"/>
      <c r="F716" s="448"/>
      <c r="G716" s="448"/>
      <c r="H716" s="222"/>
      <c r="I716" s="221">
        <f t="shared" si="6"/>
        <v>0</v>
      </c>
      <c r="J716" s="218" t="s">
        <v>72</v>
      </c>
      <c r="K716" s="449">
        <f>SUM(G618:G717)</f>
        <v>0</v>
      </c>
    </row>
    <row r="717" spans="1:11">
      <c r="A717" s="217"/>
      <c r="B717" s="218"/>
      <c r="C717" s="446"/>
      <c r="D717" s="218"/>
      <c r="E717" s="221"/>
      <c r="F717" s="448"/>
      <c r="G717" s="448"/>
      <c r="H717" s="222"/>
      <c r="I717" s="221">
        <f t="shared" si="6"/>
        <v>0</v>
      </c>
      <c r="J717" s="218" t="s">
        <v>162</v>
      </c>
      <c r="K717" s="449">
        <f>SUM(H618:H717)</f>
        <v>0</v>
      </c>
    </row>
    <row r="718" spans="1:11">
      <c r="A718" s="218"/>
      <c r="B718" s="218"/>
      <c r="C718" s="218"/>
      <c r="D718" s="218"/>
      <c r="E718" s="218"/>
      <c r="F718" s="218"/>
      <c r="G718" s="218"/>
      <c r="H718" s="222"/>
      <c r="J718" s="452" t="s">
        <v>163</v>
      </c>
      <c r="K718" s="450">
        <f>SUM(K714:K717)</f>
        <v>0</v>
      </c>
    </row>
    <row r="719" spans="1:11" thickBot="1">
      <c r="A719" s="485" t="s">
        <v>26</v>
      </c>
      <c r="B719" s="486"/>
      <c r="C719" s="486"/>
      <c r="D719" s="486"/>
      <c r="E719" s="486"/>
      <c r="F719" s="486"/>
      <c r="G719" s="486"/>
      <c r="H719" s="486"/>
      <c r="I719" s="486"/>
      <c r="J719" s="486"/>
    </row>
    <row r="720" spans="1:11" ht="15">
      <c r="A720" s="217"/>
      <c r="B720" s="218"/>
      <c r="C720" s="446"/>
      <c r="D720" s="218"/>
      <c r="E720" s="221"/>
      <c r="F720" s="222"/>
      <c r="G720" s="221"/>
      <c r="H720" s="221"/>
      <c r="I720" s="221">
        <f t="shared" ref="I720:I819" si="7">SUM(E720:H720)</f>
        <v>0</v>
      </c>
      <c r="J720" s="447"/>
    </row>
    <row r="721" spans="1:10" ht="15">
      <c r="A721" s="217"/>
      <c r="B721" s="218"/>
      <c r="C721" s="446"/>
      <c r="D721" s="218"/>
      <c r="E721" s="222"/>
      <c r="F721" s="222"/>
      <c r="G721" s="221"/>
      <c r="H721" s="222"/>
      <c r="I721" s="221">
        <f t="shared" si="7"/>
        <v>0</v>
      </c>
      <c r="J721" s="447"/>
    </row>
    <row r="722" spans="1:10" ht="15">
      <c r="A722" s="217"/>
      <c r="B722" s="218"/>
      <c r="C722" s="446"/>
      <c r="D722" s="218"/>
      <c r="E722" s="221"/>
      <c r="F722" s="222"/>
      <c r="G722" s="221"/>
      <c r="H722" s="221"/>
      <c r="I722" s="221">
        <f t="shared" si="7"/>
        <v>0</v>
      </c>
      <c r="J722" s="447"/>
    </row>
    <row r="723" spans="1:10" ht="15">
      <c r="A723" s="217"/>
      <c r="B723" s="218"/>
      <c r="C723" s="446"/>
      <c r="D723" s="218"/>
      <c r="E723" s="221"/>
      <c r="F723" s="222"/>
      <c r="G723" s="221"/>
      <c r="H723" s="221"/>
      <c r="I723" s="221">
        <f t="shared" si="7"/>
        <v>0</v>
      </c>
      <c r="J723" s="447"/>
    </row>
    <row r="724" spans="1:10" ht="15">
      <c r="A724" s="217"/>
      <c r="B724" s="218"/>
      <c r="C724" s="446"/>
      <c r="D724" s="218"/>
      <c r="E724" s="222"/>
      <c r="F724" s="222"/>
      <c r="G724" s="221"/>
      <c r="H724" s="222"/>
      <c r="I724" s="221">
        <f t="shared" si="7"/>
        <v>0</v>
      </c>
      <c r="J724" s="447"/>
    </row>
    <row r="725" spans="1:10" ht="15">
      <c r="A725" s="217"/>
      <c r="B725" s="218"/>
      <c r="C725" s="446"/>
      <c r="D725" s="218"/>
      <c r="E725" s="221"/>
      <c r="F725" s="222"/>
      <c r="G725" s="221"/>
      <c r="H725" s="221"/>
      <c r="I725" s="221">
        <f t="shared" si="7"/>
        <v>0</v>
      </c>
      <c r="J725" s="447"/>
    </row>
    <row r="726" spans="1:10" ht="15">
      <c r="A726" s="217"/>
      <c r="B726" s="218"/>
      <c r="C726" s="446"/>
      <c r="D726" s="218"/>
      <c r="E726" s="221"/>
      <c r="F726" s="222"/>
      <c r="G726" s="221"/>
      <c r="H726" s="221"/>
      <c r="I726" s="221">
        <f t="shared" si="7"/>
        <v>0</v>
      </c>
      <c r="J726" s="447"/>
    </row>
    <row r="727" spans="1:10" ht="15">
      <c r="A727" s="217"/>
      <c r="B727" s="218"/>
      <c r="C727" s="446"/>
      <c r="D727" s="218"/>
      <c r="E727" s="221"/>
      <c r="F727" s="222"/>
      <c r="G727" s="221"/>
      <c r="H727" s="221"/>
      <c r="I727" s="221">
        <f t="shared" si="7"/>
        <v>0</v>
      </c>
      <c r="J727" s="447"/>
    </row>
    <row r="728" spans="1:10" ht="15">
      <c r="A728" s="217"/>
      <c r="B728" s="218"/>
      <c r="C728" s="446"/>
      <c r="D728" s="218"/>
      <c r="E728" s="222"/>
      <c r="F728" s="222"/>
      <c r="G728" s="221"/>
      <c r="H728" s="222"/>
      <c r="I728" s="221">
        <f t="shared" si="7"/>
        <v>0</v>
      </c>
      <c r="J728" s="447"/>
    </row>
    <row r="729" spans="1:10" ht="15">
      <c r="A729" s="217"/>
      <c r="B729" s="218"/>
      <c r="C729" s="446"/>
      <c r="D729" s="218"/>
      <c r="E729" s="222"/>
      <c r="F729" s="222"/>
      <c r="G729" s="221"/>
      <c r="H729" s="222"/>
      <c r="I729" s="221">
        <f t="shared" si="7"/>
        <v>0</v>
      </c>
      <c r="J729" s="447"/>
    </row>
    <row r="730" spans="1:10" ht="15">
      <c r="A730" s="217"/>
      <c r="B730" s="218"/>
      <c r="C730" s="446"/>
      <c r="D730" s="218"/>
      <c r="E730" s="221"/>
      <c r="F730" s="222"/>
      <c r="G730" s="221"/>
      <c r="H730" s="221"/>
      <c r="I730" s="221">
        <f t="shared" si="7"/>
        <v>0</v>
      </c>
      <c r="J730" s="447"/>
    </row>
    <row r="731" spans="1:10" ht="15">
      <c r="A731" s="217"/>
      <c r="B731" s="218"/>
      <c r="C731" s="446"/>
      <c r="D731" s="218"/>
      <c r="E731" s="221"/>
      <c r="F731" s="222"/>
      <c r="G731" s="221"/>
      <c r="H731" s="221"/>
      <c r="I731" s="221">
        <f t="shared" si="7"/>
        <v>0</v>
      </c>
      <c r="J731" s="447"/>
    </row>
    <row r="732" spans="1:10" ht="15">
      <c r="A732" s="217"/>
      <c r="B732" s="218"/>
      <c r="C732" s="446"/>
      <c r="D732" s="218"/>
      <c r="E732" s="221"/>
      <c r="F732" s="222"/>
      <c r="G732" s="221"/>
      <c r="H732" s="221"/>
      <c r="I732" s="221">
        <f t="shared" si="7"/>
        <v>0</v>
      </c>
      <c r="J732" s="447"/>
    </row>
    <row r="733" spans="1:10" ht="15">
      <c r="A733" s="217"/>
      <c r="B733" s="218"/>
      <c r="C733" s="446"/>
      <c r="D733" s="218"/>
      <c r="E733" s="222"/>
      <c r="F733" s="222"/>
      <c r="G733" s="221"/>
      <c r="H733" s="222"/>
      <c r="I733" s="221">
        <f t="shared" si="7"/>
        <v>0</v>
      </c>
      <c r="J733" s="447"/>
    </row>
    <row r="734" spans="1:10" ht="15">
      <c r="A734" s="217"/>
      <c r="B734" s="218"/>
      <c r="C734" s="446"/>
      <c r="D734" s="218"/>
      <c r="E734" s="222"/>
      <c r="F734" s="222"/>
      <c r="G734" s="221"/>
      <c r="H734" s="222"/>
      <c r="I734" s="221">
        <f t="shared" si="7"/>
        <v>0</v>
      </c>
      <c r="J734" s="447"/>
    </row>
    <row r="735" spans="1:10" ht="15">
      <c r="A735" s="217"/>
      <c r="B735" s="218"/>
      <c r="C735" s="446"/>
      <c r="D735" s="218"/>
      <c r="E735" s="222"/>
      <c r="F735" s="222"/>
      <c r="G735" s="221"/>
      <c r="H735" s="222"/>
      <c r="I735" s="221">
        <f t="shared" si="7"/>
        <v>0</v>
      </c>
      <c r="J735" s="447"/>
    </row>
    <row r="736" spans="1:10" ht="15">
      <c r="A736" s="217"/>
      <c r="B736" s="218"/>
      <c r="C736" s="446"/>
      <c r="D736" s="218"/>
      <c r="E736" s="222"/>
      <c r="F736" s="222"/>
      <c r="G736" s="221"/>
      <c r="H736" s="222"/>
      <c r="I736" s="221">
        <f t="shared" si="7"/>
        <v>0</v>
      </c>
      <c r="J736" s="447"/>
    </row>
    <row r="737" spans="1:10" ht="15">
      <c r="A737" s="217"/>
      <c r="B737" s="218"/>
      <c r="C737" s="446"/>
      <c r="D737" s="218"/>
      <c r="E737" s="222"/>
      <c r="F737" s="222"/>
      <c r="G737" s="221"/>
      <c r="H737" s="222"/>
      <c r="I737" s="221">
        <f t="shared" si="7"/>
        <v>0</v>
      </c>
      <c r="J737" s="447"/>
    </row>
    <row r="738" spans="1:10" ht="15">
      <c r="A738" s="217"/>
      <c r="B738" s="218"/>
      <c r="C738" s="446"/>
      <c r="D738" s="218"/>
      <c r="E738" s="222"/>
      <c r="F738" s="222"/>
      <c r="G738" s="221"/>
      <c r="H738" s="222"/>
      <c r="I738" s="221">
        <f t="shared" si="7"/>
        <v>0</v>
      </c>
      <c r="J738" s="447"/>
    </row>
    <row r="739" spans="1:10" ht="15">
      <c r="A739" s="217"/>
      <c r="B739" s="218"/>
      <c r="C739" s="446"/>
      <c r="D739" s="218"/>
      <c r="E739" s="222"/>
      <c r="F739" s="222"/>
      <c r="G739" s="221"/>
      <c r="H739" s="222"/>
      <c r="I739" s="221">
        <f t="shared" si="7"/>
        <v>0</v>
      </c>
      <c r="J739" s="447"/>
    </row>
    <row r="740" spans="1:10" ht="15">
      <c r="A740" s="217"/>
      <c r="B740" s="218"/>
      <c r="C740" s="446"/>
      <c r="D740" s="218"/>
      <c r="E740" s="221"/>
      <c r="F740" s="224"/>
      <c r="G740" s="224"/>
      <c r="H740" s="222"/>
      <c r="I740" s="221">
        <f t="shared" si="7"/>
        <v>0</v>
      </c>
      <c r="J740" s="447"/>
    </row>
    <row r="741" spans="1:10" ht="15">
      <c r="A741" s="217"/>
      <c r="B741" s="218"/>
      <c r="C741" s="446"/>
      <c r="D741" s="226"/>
      <c r="E741" s="221"/>
      <c r="F741" s="224"/>
      <c r="G741" s="224"/>
      <c r="H741" s="222"/>
      <c r="I741" s="221">
        <f t="shared" si="7"/>
        <v>0</v>
      </c>
      <c r="J741" s="447"/>
    </row>
    <row r="742" spans="1:10" ht="15">
      <c r="A742" s="217"/>
      <c r="B742" s="218"/>
      <c r="C742" s="446"/>
      <c r="D742" s="218"/>
      <c r="E742" s="221"/>
      <c r="F742" s="224"/>
      <c r="G742" s="224"/>
      <c r="H742" s="222"/>
      <c r="I742" s="221">
        <f t="shared" si="7"/>
        <v>0</v>
      </c>
      <c r="J742" s="447"/>
    </row>
    <row r="743" spans="1:10" ht="15">
      <c r="A743" s="217"/>
      <c r="B743" s="218"/>
      <c r="C743" s="446"/>
      <c r="D743" s="218"/>
      <c r="E743" s="221"/>
      <c r="F743" s="224"/>
      <c r="G743" s="224"/>
      <c r="H743" s="222"/>
      <c r="I743" s="221">
        <f t="shared" si="7"/>
        <v>0</v>
      </c>
      <c r="J743" s="447"/>
    </row>
    <row r="744" spans="1:10" ht="15">
      <c r="A744" s="217"/>
      <c r="B744" s="218"/>
      <c r="C744" s="446"/>
      <c r="D744" s="218"/>
      <c r="E744" s="221"/>
      <c r="F744" s="224"/>
      <c r="G744" s="224"/>
      <c r="H744" s="222"/>
      <c r="I744" s="221">
        <f t="shared" si="7"/>
        <v>0</v>
      </c>
      <c r="J744" s="447"/>
    </row>
    <row r="745" spans="1:10" ht="15">
      <c r="A745" s="217"/>
      <c r="B745" s="218"/>
      <c r="C745" s="446"/>
      <c r="D745" s="218"/>
      <c r="E745" s="221"/>
      <c r="F745" s="224"/>
      <c r="G745" s="224"/>
      <c r="H745" s="222"/>
      <c r="I745" s="221">
        <f t="shared" si="7"/>
        <v>0</v>
      </c>
      <c r="J745" s="447"/>
    </row>
    <row r="746" spans="1:10" ht="15">
      <c r="A746" s="217"/>
      <c r="B746" s="218"/>
      <c r="C746" s="446"/>
      <c r="D746" s="218"/>
      <c r="E746" s="221"/>
      <c r="F746" s="224"/>
      <c r="G746" s="224"/>
      <c r="H746" s="222"/>
      <c r="I746" s="221">
        <f t="shared" si="7"/>
        <v>0</v>
      </c>
      <c r="J746" s="447"/>
    </row>
    <row r="747" spans="1:10" ht="15">
      <c r="A747" s="217"/>
      <c r="B747" s="218"/>
      <c r="C747" s="446"/>
      <c r="D747" s="218"/>
      <c r="E747" s="221"/>
      <c r="F747" s="224"/>
      <c r="G747" s="224"/>
      <c r="H747" s="222"/>
      <c r="I747" s="221">
        <f t="shared" si="7"/>
        <v>0</v>
      </c>
      <c r="J747" s="447"/>
    </row>
    <row r="748" spans="1:10" ht="15">
      <c r="A748" s="217"/>
      <c r="B748" s="218"/>
      <c r="C748" s="446"/>
      <c r="D748" s="218"/>
      <c r="E748" s="221"/>
      <c r="F748" s="224"/>
      <c r="G748" s="224"/>
      <c r="H748" s="222"/>
      <c r="I748" s="221">
        <f t="shared" si="7"/>
        <v>0</v>
      </c>
      <c r="J748" s="447"/>
    </row>
    <row r="749" spans="1:10" ht="15">
      <c r="A749" s="217"/>
      <c r="B749" s="218"/>
      <c r="C749" s="446"/>
      <c r="D749" s="218"/>
      <c r="E749" s="221"/>
      <c r="F749" s="224"/>
      <c r="G749" s="224"/>
      <c r="H749" s="222"/>
      <c r="I749" s="221">
        <f t="shared" si="7"/>
        <v>0</v>
      </c>
      <c r="J749" s="447"/>
    </row>
    <row r="750" spans="1:10" ht="15">
      <c r="A750" s="217"/>
      <c r="B750" s="218"/>
      <c r="C750" s="446"/>
      <c r="D750" s="218"/>
      <c r="E750" s="221"/>
      <c r="F750" s="224"/>
      <c r="G750" s="224"/>
      <c r="H750" s="222"/>
      <c r="I750" s="221">
        <f t="shared" si="7"/>
        <v>0</v>
      </c>
      <c r="J750" s="447"/>
    </row>
    <row r="751" spans="1:10" ht="15">
      <c r="A751" s="217"/>
      <c r="B751" s="218"/>
      <c r="C751" s="446"/>
      <c r="D751" s="218"/>
      <c r="E751" s="221"/>
      <c r="F751" s="224"/>
      <c r="G751" s="224"/>
      <c r="H751" s="222"/>
      <c r="I751" s="221">
        <f t="shared" si="7"/>
        <v>0</v>
      </c>
      <c r="J751" s="447"/>
    </row>
    <row r="752" spans="1:10" ht="15">
      <c r="A752" s="217"/>
      <c r="B752" s="218"/>
      <c r="C752" s="446"/>
      <c r="D752" s="218"/>
      <c r="E752" s="221"/>
      <c r="F752" s="224"/>
      <c r="G752" s="224"/>
      <c r="H752" s="222"/>
      <c r="I752" s="221">
        <f t="shared" si="7"/>
        <v>0</v>
      </c>
      <c r="J752" s="447"/>
    </row>
    <row r="753" spans="1:10" ht="15">
      <c r="A753" s="217"/>
      <c r="B753" s="218"/>
      <c r="C753" s="446"/>
      <c r="D753" s="218"/>
      <c r="E753" s="221"/>
      <c r="F753" s="224"/>
      <c r="G753" s="224"/>
      <c r="H753" s="222"/>
      <c r="I753" s="221">
        <f t="shared" si="7"/>
        <v>0</v>
      </c>
      <c r="J753" s="447"/>
    </row>
    <row r="754" spans="1:10" ht="15">
      <c r="A754" s="217"/>
      <c r="B754" s="218"/>
      <c r="C754" s="446"/>
      <c r="D754" s="218"/>
      <c r="E754" s="221"/>
      <c r="F754" s="224"/>
      <c r="G754" s="224"/>
      <c r="H754" s="222"/>
      <c r="I754" s="221">
        <f t="shared" si="7"/>
        <v>0</v>
      </c>
      <c r="J754" s="447"/>
    </row>
    <row r="755" spans="1:10" ht="15">
      <c r="A755" s="217"/>
      <c r="B755" s="218"/>
      <c r="C755" s="446"/>
      <c r="D755" s="218"/>
      <c r="E755" s="221"/>
      <c r="F755" s="224"/>
      <c r="G755" s="224"/>
      <c r="H755" s="222"/>
      <c r="I755" s="221">
        <f t="shared" si="7"/>
        <v>0</v>
      </c>
      <c r="J755" s="447"/>
    </row>
    <row r="756" spans="1:10" ht="15">
      <c r="A756" s="217"/>
      <c r="B756" s="218"/>
      <c r="C756" s="446"/>
      <c r="D756" s="218"/>
      <c r="E756" s="221"/>
      <c r="F756" s="224"/>
      <c r="G756" s="224"/>
      <c r="H756" s="222"/>
      <c r="I756" s="221">
        <f t="shared" si="7"/>
        <v>0</v>
      </c>
      <c r="J756" s="447"/>
    </row>
    <row r="757" spans="1:10" ht="15">
      <c r="A757" s="217"/>
      <c r="B757" s="218"/>
      <c r="C757" s="446"/>
      <c r="D757" s="218"/>
      <c r="E757" s="221"/>
      <c r="F757" s="224"/>
      <c r="G757" s="224"/>
      <c r="H757" s="222"/>
      <c r="I757" s="221">
        <f t="shared" si="7"/>
        <v>0</v>
      </c>
      <c r="J757" s="447"/>
    </row>
    <row r="758" spans="1:10" ht="15">
      <c r="A758" s="217"/>
      <c r="B758" s="218"/>
      <c r="C758" s="446"/>
      <c r="D758" s="226"/>
      <c r="E758" s="221"/>
      <c r="F758" s="224"/>
      <c r="G758" s="224"/>
      <c r="H758" s="222"/>
      <c r="I758" s="221">
        <f t="shared" si="7"/>
        <v>0</v>
      </c>
      <c r="J758" s="447"/>
    </row>
    <row r="759" spans="1:10" ht="15">
      <c r="A759" s="217"/>
      <c r="B759" s="218"/>
      <c r="C759" s="446"/>
      <c r="D759" s="218"/>
      <c r="E759" s="221"/>
      <c r="F759" s="224"/>
      <c r="G759" s="224"/>
      <c r="H759" s="222"/>
      <c r="I759" s="221">
        <f t="shared" si="7"/>
        <v>0</v>
      </c>
      <c r="J759" s="447"/>
    </row>
    <row r="760" spans="1:10" ht="15">
      <c r="A760" s="217"/>
      <c r="B760" s="218"/>
      <c r="C760" s="446"/>
      <c r="D760" s="218"/>
      <c r="E760" s="221"/>
      <c r="F760" s="224"/>
      <c r="G760" s="224"/>
      <c r="H760" s="222"/>
      <c r="I760" s="221">
        <f t="shared" si="7"/>
        <v>0</v>
      </c>
      <c r="J760" s="447"/>
    </row>
    <row r="761" spans="1:10" ht="15">
      <c r="A761" s="217"/>
      <c r="B761" s="218"/>
      <c r="C761" s="446"/>
      <c r="D761" s="218"/>
      <c r="E761" s="221"/>
      <c r="F761" s="224"/>
      <c r="G761" s="224"/>
      <c r="H761" s="222"/>
      <c r="I761" s="221">
        <f t="shared" si="7"/>
        <v>0</v>
      </c>
      <c r="J761" s="447"/>
    </row>
    <row r="762" spans="1:10" ht="15">
      <c r="A762" s="217"/>
      <c r="B762" s="218"/>
      <c r="C762" s="446"/>
      <c r="D762" s="218"/>
      <c r="E762" s="221"/>
      <c r="F762" s="224"/>
      <c r="G762" s="224"/>
      <c r="H762" s="222"/>
      <c r="I762" s="221">
        <f t="shared" si="7"/>
        <v>0</v>
      </c>
      <c r="J762" s="447"/>
    </row>
    <row r="763" spans="1:10" ht="15">
      <c r="A763" s="217"/>
      <c r="B763" s="218"/>
      <c r="C763" s="446"/>
      <c r="D763" s="218"/>
      <c r="E763" s="221"/>
      <c r="F763" s="224"/>
      <c r="G763" s="224"/>
      <c r="H763" s="222"/>
      <c r="I763" s="221">
        <f t="shared" si="7"/>
        <v>0</v>
      </c>
      <c r="J763" s="447"/>
    </row>
    <row r="764" spans="1:10" ht="15">
      <c r="A764" s="217"/>
      <c r="B764" s="218"/>
      <c r="C764" s="446"/>
      <c r="D764" s="218"/>
      <c r="E764" s="221"/>
      <c r="F764" s="224"/>
      <c r="G764" s="224"/>
      <c r="H764" s="222"/>
      <c r="I764" s="221">
        <f t="shared" si="7"/>
        <v>0</v>
      </c>
      <c r="J764" s="447"/>
    </row>
    <row r="765" spans="1:10" ht="15">
      <c r="A765" s="217"/>
      <c r="B765" s="218"/>
      <c r="C765" s="446"/>
      <c r="D765" s="218"/>
      <c r="E765" s="221"/>
      <c r="F765" s="224"/>
      <c r="G765" s="224"/>
      <c r="H765" s="222"/>
      <c r="I765" s="221">
        <f t="shared" si="7"/>
        <v>0</v>
      </c>
      <c r="J765" s="447"/>
    </row>
    <row r="766" spans="1:10" ht="15">
      <c r="A766" s="217"/>
      <c r="B766" s="218"/>
      <c r="C766" s="446"/>
      <c r="D766" s="218"/>
      <c r="E766" s="221"/>
      <c r="F766" s="448"/>
      <c r="G766" s="448"/>
      <c r="H766" s="222"/>
      <c r="I766" s="221">
        <f t="shared" si="7"/>
        <v>0</v>
      </c>
      <c r="J766" s="447"/>
    </row>
    <row r="767" spans="1:10" ht="15">
      <c r="A767" s="217"/>
      <c r="B767" s="218"/>
      <c r="C767" s="446"/>
      <c r="D767" s="218"/>
      <c r="E767" s="221"/>
      <c r="F767" s="448"/>
      <c r="G767" s="448"/>
      <c r="H767" s="222"/>
      <c r="I767" s="221">
        <f t="shared" si="7"/>
        <v>0</v>
      </c>
      <c r="J767" s="447"/>
    </row>
    <row r="768" spans="1:10" ht="15">
      <c r="A768" s="217"/>
      <c r="B768" s="218"/>
      <c r="C768" s="446"/>
      <c r="D768" s="218"/>
      <c r="E768" s="221"/>
      <c r="F768" s="448"/>
      <c r="G768" s="448"/>
      <c r="H768" s="222"/>
      <c r="I768" s="221">
        <f t="shared" si="7"/>
        <v>0</v>
      </c>
      <c r="J768" s="447"/>
    </row>
    <row r="769" spans="1:10" ht="15">
      <c r="A769" s="217"/>
      <c r="B769" s="218"/>
      <c r="C769" s="446"/>
      <c r="D769" s="218"/>
      <c r="E769" s="221"/>
      <c r="F769" s="448"/>
      <c r="G769" s="448"/>
      <c r="H769" s="222"/>
      <c r="I769" s="221">
        <f t="shared" si="7"/>
        <v>0</v>
      </c>
      <c r="J769" s="447"/>
    </row>
    <row r="770" spans="1:10" ht="15">
      <c r="A770" s="217"/>
      <c r="B770" s="218"/>
      <c r="C770" s="446"/>
      <c r="D770" s="218"/>
      <c r="E770" s="221"/>
      <c r="F770" s="448"/>
      <c r="G770" s="448"/>
      <c r="H770" s="222"/>
      <c r="I770" s="221">
        <f t="shared" si="7"/>
        <v>0</v>
      </c>
      <c r="J770" s="447"/>
    </row>
    <row r="771" spans="1:10" ht="15">
      <c r="A771" s="217"/>
      <c r="B771" s="218"/>
      <c r="C771" s="446"/>
      <c r="D771" s="218"/>
      <c r="E771" s="221"/>
      <c r="F771" s="448"/>
      <c r="G771" s="448"/>
      <c r="H771" s="222"/>
      <c r="I771" s="221">
        <f t="shared" si="7"/>
        <v>0</v>
      </c>
      <c r="J771" s="447"/>
    </row>
    <row r="772" spans="1:10" ht="15">
      <c r="A772" s="217"/>
      <c r="B772" s="218"/>
      <c r="C772" s="446"/>
      <c r="D772" s="218"/>
      <c r="E772" s="221"/>
      <c r="F772" s="448"/>
      <c r="G772" s="448"/>
      <c r="H772" s="222"/>
      <c r="I772" s="221">
        <f t="shared" si="7"/>
        <v>0</v>
      </c>
      <c r="J772" s="447"/>
    </row>
    <row r="773" spans="1:10" ht="15">
      <c r="A773" s="217"/>
      <c r="B773" s="218"/>
      <c r="C773" s="446"/>
      <c r="D773" s="218"/>
      <c r="E773" s="221"/>
      <c r="F773" s="448"/>
      <c r="G773" s="448"/>
      <c r="H773" s="222"/>
      <c r="I773" s="221">
        <f t="shared" si="7"/>
        <v>0</v>
      </c>
      <c r="J773" s="447"/>
    </row>
    <row r="774" spans="1:10" ht="15">
      <c r="A774" s="217"/>
      <c r="B774" s="218"/>
      <c r="C774" s="446"/>
      <c r="D774" s="218"/>
      <c r="E774" s="221"/>
      <c r="F774" s="448"/>
      <c r="G774" s="448"/>
      <c r="H774" s="222"/>
      <c r="I774" s="221">
        <f t="shared" si="7"/>
        <v>0</v>
      </c>
      <c r="J774" s="447"/>
    </row>
    <row r="775" spans="1:10" ht="15">
      <c r="A775" s="217"/>
      <c r="B775" s="218"/>
      <c r="C775" s="446"/>
      <c r="D775" s="218"/>
      <c r="E775" s="221"/>
      <c r="F775" s="448"/>
      <c r="G775" s="448"/>
      <c r="H775" s="222"/>
      <c r="I775" s="221">
        <f t="shared" si="7"/>
        <v>0</v>
      </c>
      <c r="J775" s="447"/>
    </row>
    <row r="776" spans="1:10" ht="15">
      <c r="A776" s="217"/>
      <c r="B776" s="218"/>
      <c r="C776" s="446"/>
      <c r="D776" s="218"/>
      <c r="E776" s="221"/>
      <c r="F776" s="448"/>
      <c r="G776" s="448"/>
      <c r="H776" s="222"/>
      <c r="I776" s="221">
        <f t="shared" si="7"/>
        <v>0</v>
      </c>
      <c r="J776" s="447"/>
    </row>
    <row r="777" spans="1:10" ht="15">
      <c r="A777" s="217"/>
      <c r="B777" s="218"/>
      <c r="C777" s="446"/>
      <c r="D777" s="218"/>
      <c r="E777" s="221"/>
      <c r="F777" s="448"/>
      <c r="G777" s="448"/>
      <c r="H777" s="222"/>
      <c r="I777" s="221">
        <f t="shared" si="7"/>
        <v>0</v>
      </c>
      <c r="J777" s="447"/>
    </row>
    <row r="778" spans="1:10" ht="15">
      <c r="A778" s="217"/>
      <c r="B778" s="218"/>
      <c r="C778" s="446"/>
      <c r="D778" s="218"/>
      <c r="E778" s="221"/>
      <c r="F778" s="448"/>
      <c r="G778" s="448"/>
      <c r="H778" s="222"/>
      <c r="I778" s="221">
        <f t="shared" si="7"/>
        <v>0</v>
      </c>
      <c r="J778" s="447"/>
    </row>
    <row r="779" spans="1:10" ht="15">
      <c r="A779" s="217"/>
      <c r="B779" s="218"/>
      <c r="C779" s="446"/>
      <c r="D779" s="218"/>
      <c r="E779" s="221"/>
      <c r="F779" s="448"/>
      <c r="G779" s="448"/>
      <c r="H779" s="222"/>
      <c r="I779" s="221">
        <f t="shared" si="7"/>
        <v>0</v>
      </c>
      <c r="J779" s="447"/>
    </row>
    <row r="780" spans="1:10" ht="15">
      <c r="A780" s="217"/>
      <c r="B780" s="218"/>
      <c r="C780" s="446"/>
      <c r="D780" s="218"/>
      <c r="E780" s="221"/>
      <c r="F780" s="448"/>
      <c r="G780" s="448"/>
      <c r="H780" s="222"/>
      <c r="I780" s="221">
        <f t="shared" si="7"/>
        <v>0</v>
      </c>
      <c r="J780" s="447"/>
    </row>
    <row r="781" spans="1:10" ht="15">
      <c r="A781" s="217"/>
      <c r="B781" s="218"/>
      <c r="C781" s="446"/>
      <c r="D781" s="218"/>
      <c r="E781" s="221"/>
      <c r="F781" s="448"/>
      <c r="G781" s="448"/>
      <c r="H781" s="222"/>
      <c r="I781" s="221">
        <f t="shared" si="7"/>
        <v>0</v>
      </c>
      <c r="J781" s="447"/>
    </row>
    <row r="782" spans="1:10" ht="15">
      <c r="A782" s="217"/>
      <c r="B782" s="218"/>
      <c r="C782" s="446"/>
      <c r="D782" s="218"/>
      <c r="E782" s="221"/>
      <c r="F782" s="448"/>
      <c r="G782" s="448"/>
      <c r="H782" s="222"/>
      <c r="I782" s="221">
        <f t="shared" si="7"/>
        <v>0</v>
      </c>
      <c r="J782" s="447"/>
    </row>
    <row r="783" spans="1:10" ht="15">
      <c r="A783" s="217"/>
      <c r="B783" s="218"/>
      <c r="C783" s="446"/>
      <c r="D783" s="218"/>
      <c r="E783" s="221"/>
      <c r="F783" s="448"/>
      <c r="G783" s="448"/>
      <c r="H783" s="222"/>
      <c r="I783" s="221">
        <f t="shared" si="7"/>
        <v>0</v>
      </c>
      <c r="J783" s="447"/>
    </row>
    <row r="784" spans="1:10" ht="15">
      <c r="A784" s="217"/>
      <c r="B784" s="218"/>
      <c r="C784" s="446"/>
      <c r="D784" s="218"/>
      <c r="E784" s="221"/>
      <c r="F784" s="448"/>
      <c r="G784" s="448"/>
      <c r="H784" s="222"/>
      <c r="I784" s="221">
        <f t="shared" si="7"/>
        <v>0</v>
      </c>
      <c r="J784" s="447"/>
    </row>
    <row r="785" spans="1:10" ht="15">
      <c r="A785" s="217"/>
      <c r="B785" s="218"/>
      <c r="C785" s="446"/>
      <c r="D785" s="218"/>
      <c r="E785" s="221"/>
      <c r="F785" s="448"/>
      <c r="G785" s="448"/>
      <c r="H785" s="222"/>
      <c r="I785" s="221">
        <f t="shared" si="7"/>
        <v>0</v>
      </c>
      <c r="J785" s="447"/>
    </row>
    <row r="786" spans="1:10" ht="15">
      <c r="A786" s="217"/>
      <c r="B786" s="218"/>
      <c r="C786" s="446"/>
      <c r="D786" s="218"/>
      <c r="E786" s="221"/>
      <c r="F786" s="448"/>
      <c r="G786" s="448"/>
      <c r="H786" s="222"/>
      <c r="I786" s="221">
        <f t="shared" si="7"/>
        <v>0</v>
      </c>
      <c r="J786" s="447"/>
    </row>
    <row r="787" spans="1:10" ht="15">
      <c r="A787" s="217"/>
      <c r="B787" s="218"/>
      <c r="C787" s="446"/>
      <c r="D787" s="218"/>
      <c r="E787" s="221"/>
      <c r="F787" s="448"/>
      <c r="G787" s="448"/>
      <c r="H787" s="222"/>
      <c r="I787" s="221">
        <f t="shared" si="7"/>
        <v>0</v>
      </c>
      <c r="J787" s="447"/>
    </row>
    <row r="788" spans="1:10" ht="15">
      <c r="A788" s="217"/>
      <c r="B788" s="218"/>
      <c r="C788" s="446"/>
      <c r="D788" s="218"/>
      <c r="E788" s="221"/>
      <c r="F788" s="448"/>
      <c r="G788" s="448"/>
      <c r="H788" s="222"/>
      <c r="I788" s="221">
        <f t="shared" si="7"/>
        <v>0</v>
      </c>
      <c r="J788" s="447"/>
    </row>
    <row r="789" spans="1:10" ht="15">
      <c r="A789" s="217"/>
      <c r="B789" s="218"/>
      <c r="C789" s="446"/>
      <c r="D789" s="218"/>
      <c r="E789" s="221"/>
      <c r="F789" s="448"/>
      <c r="G789" s="448"/>
      <c r="H789" s="222"/>
      <c r="I789" s="221">
        <f t="shared" si="7"/>
        <v>0</v>
      </c>
      <c r="J789" s="447"/>
    </row>
    <row r="790" spans="1:10" ht="15">
      <c r="A790" s="217"/>
      <c r="B790" s="218"/>
      <c r="C790" s="446"/>
      <c r="D790" s="218"/>
      <c r="E790" s="221"/>
      <c r="F790" s="448"/>
      <c r="G790" s="448"/>
      <c r="H790" s="222"/>
      <c r="I790" s="221">
        <f t="shared" si="7"/>
        <v>0</v>
      </c>
      <c r="J790" s="447"/>
    </row>
    <row r="791" spans="1:10" ht="15">
      <c r="A791" s="217"/>
      <c r="B791" s="218"/>
      <c r="C791" s="446"/>
      <c r="D791" s="218"/>
      <c r="E791" s="221"/>
      <c r="F791" s="448"/>
      <c r="G791" s="448"/>
      <c r="H791" s="222"/>
      <c r="I791" s="221">
        <f t="shared" si="7"/>
        <v>0</v>
      </c>
      <c r="J791" s="447"/>
    </row>
    <row r="792" spans="1:10" ht="15">
      <c r="A792" s="217"/>
      <c r="B792" s="218"/>
      <c r="C792" s="446"/>
      <c r="D792" s="218"/>
      <c r="E792" s="221"/>
      <c r="F792" s="448"/>
      <c r="G792" s="448"/>
      <c r="H792" s="222"/>
      <c r="I792" s="221">
        <f t="shared" si="7"/>
        <v>0</v>
      </c>
      <c r="J792" s="447"/>
    </row>
    <row r="793" spans="1:10" ht="15">
      <c r="A793" s="217"/>
      <c r="B793" s="218"/>
      <c r="C793" s="446"/>
      <c r="D793" s="218"/>
      <c r="E793" s="221"/>
      <c r="F793" s="448"/>
      <c r="G793" s="448"/>
      <c r="H793" s="222"/>
      <c r="I793" s="221">
        <f t="shared" si="7"/>
        <v>0</v>
      </c>
      <c r="J793" s="447"/>
    </row>
    <row r="794" spans="1:10" ht="15">
      <c r="A794" s="217"/>
      <c r="B794" s="218"/>
      <c r="C794" s="446"/>
      <c r="D794" s="218"/>
      <c r="E794" s="221"/>
      <c r="F794" s="448"/>
      <c r="G794" s="448"/>
      <c r="H794" s="222"/>
      <c r="I794" s="221">
        <f t="shared" si="7"/>
        <v>0</v>
      </c>
      <c r="J794" s="447"/>
    </row>
    <row r="795" spans="1:10" ht="15">
      <c r="A795" s="217"/>
      <c r="B795" s="218"/>
      <c r="C795" s="446"/>
      <c r="D795" s="218"/>
      <c r="E795" s="221"/>
      <c r="F795" s="448"/>
      <c r="G795" s="448"/>
      <c r="H795" s="222"/>
      <c r="I795" s="221">
        <f t="shared" si="7"/>
        <v>0</v>
      </c>
      <c r="J795" s="447"/>
    </row>
    <row r="796" spans="1:10" ht="15">
      <c r="A796" s="217"/>
      <c r="B796" s="218"/>
      <c r="C796" s="446"/>
      <c r="D796" s="218"/>
      <c r="E796" s="221"/>
      <c r="F796" s="448"/>
      <c r="G796" s="448"/>
      <c r="H796" s="222"/>
      <c r="I796" s="221">
        <f t="shared" si="7"/>
        <v>0</v>
      </c>
      <c r="J796" s="447"/>
    </row>
    <row r="797" spans="1:10" ht="15">
      <c r="A797" s="217"/>
      <c r="B797" s="218"/>
      <c r="C797" s="446"/>
      <c r="D797" s="218"/>
      <c r="E797" s="221"/>
      <c r="F797" s="448"/>
      <c r="G797" s="448"/>
      <c r="H797" s="222"/>
      <c r="I797" s="221">
        <f t="shared" si="7"/>
        <v>0</v>
      </c>
      <c r="J797" s="447"/>
    </row>
    <row r="798" spans="1:10" ht="15">
      <c r="A798" s="217"/>
      <c r="B798" s="218"/>
      <c r="C798" s="446"/>
      <c r="D798" s="218"/>
      <c r="E798" s="221"/>
      <c r="F798" s="448"/>
      <c r="G798" s="448"/>
      <c r="H798" s="222"/>
      <c r="I798" s="221">
        <f t="shared" si="7"/>
        <v>0</v>
      </c>
      <c r="J798" s="447"/>
    </row>
    <row r="799" spans="1:10" ht="15">
      <c r="A799" s="217"/>
      <c r="B799" s="218"/>
      <c r="C799" s="446"/>
      <c r="D799" s="218"/>
      <c r="E799" s="221"/>
      <c r="F799" s="448"/>
      <c r="G799" s="448"/>
      <c r="H799" s="222"/>
      <c r="I799" s="221">
        <f t="shared" si="7"/>
        <v>0</v>
      </c>
      <c r="J799" s="447"/>
    </row>
    <row r="800" spans="1:10" ht="15">
      <c r="A800" s="217"/>
      <c r="B800" s="218"/>
      <c r="C800" s="446"/>
      <c r="D800" s="218"/>
      <c r="E800" s="221"/>
      <c r="F800" s="448"/>
      <c r="G800" s="448"/>
      <c r="H800" s="222"/>
      <c r="I800" s="221">
        <f t="shared" si="7"/>
        <v>0</v>
      </c>
      <c r="J800" s="447"/>
    </row>
    <row r="801" spans="1:11" ht="15">
      <c r="A801" s="217"/>
      <c r="B801" s="218"/>
      <c r="C801" s="446"/>
      <c r="D801" s="218"/>
      <c r="E801" s="221"/>
      <c r="F801" s="448"/>
      <c r="G801" s="448"/>
      <c r="H801" s="222"/>
      <c r="I801" s="221">
        <f t="shared" si="7"/>
        <v>0</v>
      </c>
      <c r="J801" s="447"/>
    </row>
    <row r="802" spans="1:11" ht="15">
      <c r="A802" s="217"/>
      <c r="B802" s="218"/>
      <c r="C802" s="446"/>
      <c r="D802" s="218"/>
      <c r="E802" s="221"/>
      <c r="F802" s="448"/>
      <c r="G802" s="448"/>
      <c r="H802" s="222"/>
      <c r="I802" s="221">
        <f t="shared" si="7"/>
        <v>0</v>
      </c>
      <c r="J802" s="447"/>
    </row>
    <row r="803" spans="1:11" ht="15">
      <c r="A803" s="217"/>
      <c r="B803" s="218"/>
      <c r="C803" s="446"/>
      <c r="D803" s="218"/>
      <c r="E803" s="221"/>
      <c r="F803" s="448"/>
      <c r="G803" s="448"/>
      <c r="H803" s="222"/>
      <c r="I803" s="221">
        <f t="shared" si="7"/>
        <v>0</v>
      </c>
      <c r="J803" s="447"/>
    </row>
    <row r="804" spans="1:11" ht="15">
      <c r="A804" s="217"/>
      <c r="B804" s="218"/>
      <c r="C804" s="446"/>
      <c r="D804" s="218"/>
      <c r="E804" s="221"/>
      <c r="F804" s="448"/>
      <c r="G804" s="448"/>
      <c r="H804" s="222"/>
      <c r="I804" s="221">
        <f t="shared" si="7"/>
        <v>0</v>
      </c>
      <c r="J804" s="447"/>
    </row>
    <row r="805" spans="1:11" ht="15">
      <c r="A805" s="217"/>
      <c r="B805" s="218"/>
      <c r="C805" s="446"/>
      <c r="D805" s="218"/>
      <c r="E805" s="221"/>
      <c r="F805" s="448"/>
      <c r="G805" s="448"/>
      <c r="H805" s="222"/>
      <c r="I805" s="221">
        <f t="shared" si="7"/>
        <v>0</v>
      </c>
      <c r="J805" s="447"/>
    </row>
    <row r="806" spans="1:11" ht="15">
      <c r="A806" s="217"/>
      <c r="B806" s="218"/>
      <c r="C806" s="446"/>
      <c r="D806" s="218"/>
      <c r="E806" s="221"/>
      <c r="F806" s="448"/>
      <c r="G806" s="448"/>
      <c r="H806" s="222"/>
      <c r="I806" s="221">
        <f t="shared" si="7"/>
        <v>0</v>
      </c>
      <c r="J806" s="447"/>
    </row>
    <row r="807" spans="1:11" ht="15">
      <c r="A807" s="217"/>
      <c r="B807" s="218"/>
      <c r="C807" s="446"/>
      <c r="D807" s="218"/>
      <c r="E807" s="221"/>
      <c r="F807" s="448"/>
      <c r="G807" s="448"/>
      <c r="H807" s="222"/>
      <c r="I807" s="221">
        <f t="shared" si="7"/>
        <v>0</v>
      </c>
      <c r="J807" s="447"/>
    </row>
    <row r="808" spans="1:11" ht="15">
      <c r="A808" s="217"/>
      <c r="B808" s="218"/>
      <c r="C808" s="446"/>
      <c r="D808" s="218"/>
      <c r="E808" s="221"/>
      <c r="F808" s="448"/>
      <c r="G808" s="448"/>
      <c r="H808" s="222"/>
      <c r="I808" s="221">
        <f t="shared" si="7"/>
        <v>0</v>
      </c>
      <c r="J808" s="447"/>
    </row>
    <row r="809" spans="1:11" ht="15">
      <c r="A809" s="217"/>
      <c r="B809" s="218"/>
      <c r="C809" s="446"/>
      <c r="D809" s="218"/>
      <c r="E809" s="221"/>
      <c r="F809" s="448"/>
      <c r="G809" s="448"/>
      <c r="H809" s="222"/>
      <c r="I809" s="221">
        <f t="shared" si="7"/>
        <v>0</v>
      </c>
      <c r="J809" s="447"/>
    </row>
    <row r="810" spans="1:11" ht="15">
      <c r="A810" s="217"/>
      <c r="B810" s="218"/>
      <c r="C810" s="446"/>
      <c r="D810" s="218"/>
      <c r="E810" s="221"/>
      <c r="F810" s="448"/>
      <c r="G810" s="448"/>
      <c r="H810" s="222"/>
      <c r="I810" s="221">
        <f t="shared" si="7"/>
        <v>0</v>
      </c>
      <c r="J810" s="447"/>
    </row>
    <row r="811" spans="1:11" ht="15">
      <c r="A811" s="217"/>
      <c r="B811" s="218"/>
      <c r="C811" s="446"/>
      <c r="D811" s="218"/>
      <c r="E811" s="221"/>
      <c r="F811" s="448"/>
      <c r="G811" s="448"/>
      <c r="H811" s="222"/>
      <c r="I811" s="221">
        <f t="shared" si="7"/>
        <v>0</v>
      </c>
      <c r="J811" s="447"/>
    </row>
    <row r="812" spans="1:11" ht="15">
      <c r="A812" s="217"/>
      <c r="B812" s="218"/>
      <c r="C812" s="446"/>
      <c r="D812" s="218"/>
      <c r="E812" s="221"/>
      <c r="F812" s="448"/>
      <c r="G812" s="448"/>
      <c r="H812" s="222"/>
      <c r="I812" s="221">
        <f t="shared" si="7"/>
        <v>0</v>
      </c>
      <c r="J812" s="447"/>
    </row>
    <row r="813" spans="1:11" ht="15">
      <c r="A813" s="217"/>
      <c r="B813" s="218"/>
      <c r="C813" s="446"/>
      <c r="D813" s="218"/>
      <c r="E813" s="221"/>
      <c r="F813" s="448"/>
      <c r="G813" s="448"/>
      <c r="H813" s="222"/>
      <c r="I813" s="221">
        <f t="shared" si="7"/>
        <v>0</v>
      </c>
      <c r="J813" s="447"/>
    </row>
    <row r="814" spans="1:11" ht="15">
      <c r="A814" s="217"/>
      <c r="B814" s="218"/>
      <c r="C814" s="446"/>
      <c r="D814" s="218"/>
      <c r="E814" s="221"/>
      <c r="F814" s="448"/>
      <c r="G814" s="448"/>
      <c r="H814" s="222"/>
      <c r="I814" s="221">
        <f t="shared" si="7"/>
        <v>0</v>
      </c>
      <c r="J814" s="447"/>
    </row>
    <row r="815" spans="1:11" ht="15">
      <c r="A815" s="217"/>
      <c r="B815" s="218"/>
      <c r="C815" s="446"/>
      <c r="D815" s="218"/>
      <c r="E815" s="221"/>
      <c r="F815" s="448"/>
      <c r="G815" s="448"/>
      <c r="H815" s="222"/>
      <c r="I815" s="221">
        <f t="shared" si="7"/>
        <v>0</v>
      </c>
      <c r="J815" s="447"/>
    </row>
    <row r="816" spans="1:11">
      <c r="A816" s="217"/>
      <c r="B816" s="218"/>
      <c r="C816" s="446"/>
      <c r="D816" s="218"/>
      <c r="E816" s="221"/>
      <c r="F816" s="448"/>
      <c r="G816" s="448"/>
      <c r="H816" s="222"/>
      <c r="I816" s="221">
        <f t="shared" si="7"/>
        <v>0</v>
      </c>
      <c r="J816" s="218" t="s">
        <v>56</v>
      </c>
      <c r="K816" s="449">
        <f>SUM(E720:E819)</f>
        <v>0</v>
      </c>
    </row>
    <row r="817" spans="1:11">
      <c r="A817" s="217"/>
      <c r="B817" s="218"/>
      <c r="C817" s="446"/>
      <c r="D817" s="218"/>
      <c r="E817" s="221"/>
      <c r="F817" s="448"/>
      <c r="G817" s="448"/>
      <c r="H817" s="222"/>
      <c r="I817" s="221">
        <f t="shared" si="7"/>
        <v>0</v>
      </c>
      <c r="J817" s="218" t="s">
        <v>160</v>
      </c>
      <c r="K817" s="449">
        <f>SUM(F720:F819)</f>
        <v>0</v>
      </c>
    </row>
    <row r="818" spans="1:11">
      <c r="A818" s="217"/>
      <c r="B818" s="218"/>
      <c r="C818" s="446"/>
      <c r="D818" s="218"/>
      <c r="E818" s="221"/>
      <c r="F818" s="448"/>
      <c r="G818" s="448"/>
      <c r="H818" s="222"/>
      <c r="I818" s="221">
        <f t="shared" si="7"/>
        <v>0</v>
      </c>
      <c r="J818" s="218" t="s">
        <v>72</v>
      </c>
      <c r="K818" s="449">
        <f>SUM(G720:G819)</f>
        <v>0</v>
      </c>
    </row>
    <row r="819" spans="1:11">
      <c r="A819" s="217"/>
      <c r="B819" s="218"/>
      <c r="C819" s="446"/>
      <c r="D819" s="218"/>
      <c r="E819" s="221"/>
      <c r="F819" s="448"/>
      <c r="G819" s="448"/>
      <c r="H819" s="222"/>
      <c r="I819" s="221">
        <f t="shared" si="7"/>
        <v>0</v>
      </c>
      <c r="J819" s="218" t="s">
        <v>162</v>
      </c>
      <c r="K819" s="449">
        <f>SUM(H720:H819)</f>
        <v>0</v>
      </c>
    </row>
    <row r="820" spans="1:11">
      <c r="A820" s="218"/>
      <c r="B820" s="218"/>
      <c r="C820" s="218"/>
      <c r="D820" s="218"/>
      <c r="E820" s="218"/>
      <c r="F820" s="218"/>
      <c r="G820" s="218"/>
      <c r="H820" s="222"/>
      <c r="J820" s="452" t="s">
        <v>163</v>
      </c>
      <c r="K820" s="450">
        <f>SUM(K816:K819)</f>
        <v>0</v>
      </c>
    </row>
    <row r="821" spans="1:11" thickBot="1">
      <c r="A821" s="485" t="s">
        <v>27</v>
      </c>
      <c r="B821" s="486"/>
      <c r="C821" s="486"/>
      <c r="D821" s="486"/>
      <c r="E821" s="486"/>
      <c r="F821" s="486"/>
      <c r="G821" s="486"/>
      <c r="H821" s="486"/>
      <c r="I821" s="486"/>
      <c r="J821" s="486"/>
    </row>
    <row r="822" spans="1:11" ht="15">
      <c r="A822" s="217"/>
      <c r="B822" s="218"/>
      <c r="C822" s="446"/>
      <c r="D822" s="218"/>
      <c r="E822" s="221"/>
      <c r="F822" s="222"/>
      <c r="G822" s="221"/>
      <c r="H822" s="221"/>
      <c r="I822" s="221">
        <f t="shared" ref="I822:I921" si="8">SUM(E822:H822)</f>
        <v>0</v>
      </c>
      <c r="J822" s="447"/>
    </row>
    <row r="823" spans="1:11" ht="15">
      <c r="A823" s="217"/>
      <c r="B823" s="218"/>
      <c r="C823" s="446"/>
      <c r="D823" s="218"/>
      <c r="E823" s="222"/>
      <c r="F823" s="222"/>
      <c r="G823" s="221"/>
      <c r="H823" s="222"/>
      <c r="I823" s="221">
        <f t="shared" si="8"/>
        <v>0</v>
      </c>
      <c r="J823" s="447"/>
    </row>
    <row r="824" spans="1:11" ht="15">
      <c r="A824" s="217"/>
      <c r="B824" s="218"/>
      <c r="C824" s="446"/>
      <c r="D824" s="218"/>
      <c r="E824" s="221"/>
      <c r="F824" s="222"/>
      <c r="G824" s="221"/>
      <c r="H824" s="221"/>
      <c r="I824" s="221">
        <f t="shared" si="8"/>
        <v>0</v>
      </c>
      <c r="J824" s="447"/>
    </row>
    <row r="825" spans="1:11" ht="15">
      <c r="A825" s="217"/>
      <c r="B825" s="218"/>
      <c r="C825" s="446"/>
      <c r="D825" s="218"/>
      <c r="E825" s="221"/>
      <c r="F825" s="222"/>
      <c r="G825" s="221"/>
      <c r="H825" s="221"/>
      <c r="I825" s="221">
        <f t="shared" si="8"/>
        <v>0</v>
      </c>
      <c r="J825" s="447"/>
    </row>
    <row r="826" spans="1:11" ht="15">
      <c r="A826" s="217"/>
      <c r="B826" s="218"/>
      <c r="C826" s="446"/>
      <c r="D826" s="218"/>
      <c r="E826" s="222"/>
      <c r="F826" s="222"/>
      <c r="G826" s="221"/>
      <c r="H826" s="222"/>
      <c r="I826" s="221">
        <f t="shared" si="8"/>
        <v>0</v>
      </c>
      <c r="J826" s="447"/>
    </row>
    <row r="827" spans="1:11" ht="15">
      <c r="A827" s="217"/>
      <c r="B827" s="218"/>
      <c r="C827" s="446"/>
      <c r="D827" s="218"/>
      <c r="E827" s="221"/>
      <c r="F827" s="222"/>
      <c r="G827" s="221"/>
      <c r="H827" s="221"/>
      <c r="I827" s="221">
        <f t="shared" si="8"/>
        <v>0</v>
      </c>
      <c r="J827" s="447"/>
    </row>
    <row r="828" spans="1:11" ht="15">
      <c r="A828" s="217"/>
      <c r="B828" s="218"/>
      <c r="C828" s="446"/>
      <c r="D828" s="218"/>
      <c r="E828" s="221"/>
      <c r="F828" s="222"/>
      <c r="G828" s="221"/>
      <c r="H828" s="221"/>
      <c r="I828" s="221">
        <f t="shared" si="8"/>
        <v>0</v>
      </c>
      <c r="J828" s="447"/>
    </row>
    <row r="829" spans="1:11" ht="15">
      <c r="A829" s="217"/>
      <c r="B829" s="218"/>
      <c r="C829" s="446"/>
      <c r="D829" s="218"/>
      <c r="E829" s="221"/>
      <c r="F829" s="222"/>
      <c r="G829" s="221"/>
      <c r="H829" s="221"/>
      <c r="I829" s="221">
        <f t="shared" si="8"/>
        <v>0</v>
      </c>
      <c r="J829" s="447"/>
    </row>
    <row r="830" spans="1:11" ht="15">
      <c r="A830" s="217"/>
      <c r="B830" s="218"/>
      <c r="C830" s="446"/>
      <c r="D830" s="218"/>
      <c r="E830" s="222"/>
      <c r="F830" s="222"/>
      <c r="G830" s="221"/>
      <c r="H830" s="222"/>
      <c r="I830" s="221">
        <f t="shared" si="8"/>
        <v>0</v>
      </c>
      <c r="J830" s="447"/>
    </row>
    <row r="831" spans="1:11" ht="15">
      <c r="A831" s="217"/>
      <c r="B831" s="218"/>
      <c r="C831" s="446"/>
      <c r="D831" s="218"/>
      <c r="E831" s="222"/>
      <c r="F831" s="222"/>
      <c r="G831" s="221"/>
      <c r="H831" s="222"/>
      <c r="I831" s="221">
        <f t="shared" si="8"/>
        <v>0</v>
      </c>
      <c r="J831" s="447"/>
    </row>
    <row r="832" spans="1:11" ht="15">
      <c r="A832" s="217"/>
      <c r="B832" s="218"/>
      <c r="C832" s="446"/>
      <c r="D832" s="218"/>
      <c r="E832" s="221"/>
      <c r="F832" s="222"/>
      <c r="G832" s="221"/>
      <c r="H832" s="221"/>
      <c r="I832" s="221">
        <f t="shared" si="8"/>
        <v>0</v>
      </c>
      <c r="J832" s="447"/>
    </row>
    <row r="833" spans="1:10" ht="15">
      <c r="A833" s="217"/>
      <c r="B833" s="218"/>
      <c r="C833" s="446"/>
      <c r="D833" s="218"/>
      <c r="E833" s="221"/>
      <c r="F833" s="222"/>
      <c r="G833" s="221"/>
      <c r="H833" s="221"/>
      <c r="I833" s="221">
        <f t="shared" si="8"/>
        <v>0</v>
      </c>
      <c r="J833" s="447"/>
    </row>
    <row r="834" spans="1:10" ht="15">
      <c r="A834" s="217"/>
      <c r="B834" s="218"/>
      <c r="C834" s="446"/>
      <c r="D834" s="218"/>
      <c r="E834" s="221"/>
      <c r="F834" s="222"/>
      <c r="G834" s="221"/>
      <c r="H834" s="221"/>
      <c r="I834" s="221">
        <f t="shared" si="8"/>
        <v>0</v>
      </c>
      <c r="J834" s="447"/>
    </row>
    <row r="835" spans="1:10" ht="15">
      <c r="A835" s="217"/>
      <c r="B835" s="218"/>
      <c r="C835" s="446"/>
      <c r="D835" s="218"/>
      <c r="E835" s="222"/>
      <c r="F835" s="222"/>
      <c r="G835" s="221"/>
      <c r="H835" s="222"/>
      <c r="I835" s="221">
        <f t="shared" si="8"/>
        <v>0</v>
      </c>
      <c r="J835" s="447"/>
    </row>
    <row r="836" spans="1:10" ht="15">
      <c r="A836" s="217"/>
      <c r="B836" s="218"/>
      <c r="C836" s="446"/>
      <c r="D836" s="218"/>
      <c r="E836" s="222"/>
      <c r="F836" s="222"/>
      <c r="G836" s="221"/>
      <c r="H836" s="222"/>
      <c r="I836" s="221">
        <f t="shared" si="8"/>
        <v>0</v>
      </c>
      <c r="J836" s="447"/>
    </row>
    <row r="837" spans="1:10" ht="15">
      <c r="A837" s="217"/>
      <c r="B837" s="218"/>
      <c r="C837" s="446"/>
      <c r="D837" s="218"/>
      <c r="E837" s="222"/>
      <c r="F837" s="222"/>
      <c r="G837" s="221"/>
      <c r="H837" s="222"/>
      <c r="I837" s="221">
        <f t="shared" si="8"/>
        <v>0</v>
      </c>
      <c r="J837" s="447"/>
    </row>
    <row r="838" spans="1:10" ht="15">
      <c r="A838" s="217"/>
      <c r="B838" s="218"/>
      <c r="C838" s="446"/>
      <c r="D838" s="218"/>
      <c r="E838" s="222"/>
      <c r="F838" s="222"/>
      <c r="G838" s="221"/>
      <c r="H838" s="222"/>
      <c r="I838" s="221">
        <f t="shared" si="8"/>
        <v>0</v>
      </c>
      <c r="J838" s="447"/>
    </row>
    <row r="839" spans="1:10" ht="15">
      <c r="A839" s="217"/>
      <c r="B839" s="218"/>
      <c r="C839" s="446"/>
      <c r="D839" s="218"/>
      <c r="E839" s="222"/>
      <c r="F839" s="222"/>
      <c r="G839" s="221"/>
      <c r="H839" s="222"/>
      <c r="I839" s="221">
        <f t="shared" si="8"/>
        <v>0</v>
      </c>
      <c r="J839" s="447"/>
    </row>
    <row r="840" spans="1:10" ht="15">
      <c r="A840" s="217"/>
      <c r="B840" s="218"/>
      <c r="C840" s="446"/>
      <c r="D840" s="218"/>
      <c r="E840" s="222"/>
      <c r="F840" s="222"/>
      <c r="G840" s="221"/>
      <c r="H840" s="222"/>
      <c r="I840" s="221">
        <f t="shared" si="8"/>
        <v>0</v>
      </c>
      <c r="J840" s="447"/>
    </row>
    <row r="841" spans="1:10" ht="15">
      <c r="A841" s="217"/>
      <c r="B841" s="218"/>
      <c r="C841" s="446"/>
      <c r="D841" s="218"/>
      <c r="E841" s="222"/>
      <c r="F841" s="222"/>
      <c r="G841" s="221"/>
      <c r="H841" s="222"/>
      <c r="I841" s="221">
        <f t="shared" si="8"/>
        <v>0</v>
      </c>
      <c r="J841" s="447"/>
    </row>
    <row r="842" spans="1:10" ht="15">
      <c r="A842" s="217"/>
      <c r="B842" s="218"/>
      <c r="C842" s="446"/>
      <c r="D842" s="218"/>
      <c r="E842" s="221"/>
      <c r="F842" s="224"/>
      <c r="G842" s="224"/>
      <c r="H842" s="222"/>
      <c r="I842" s="221">
        <f t="shared" si="8"/>
        <v>0</v>
      </c>
      <c r="J842" s="447"/>
    </row>
    <row r="843" spans="1:10" ht="15">
      <c r="A843" s="217"/>
      <c r="B843" s="218"/>
      <c r="C843" s="446"/>
      <c r="D843" s="226"/>
      <c r="E843" s="221"/>
      <c r="F843" s="224"/>
      <c r="G843" s="224"/>
      <c r="H843" s="222"/>
      <c r="I843" s="221">
        <f t="shared" si="8"/>
        <v>0</v>
      </c>
      <c r="J843" s="447"/>
    </row>
    <row r="844" spans="1:10" ht="15">
      <c r="A844" s="217"/>
      <c r="B844" s="218"/>
      <c r="C844" s="446"/>
      <c r="D844" s="218"/>
      <c r="E844" s="221"/>
      <c r="F844" s="224"/>
      <c r="G844" s="224"/>
      <c r="H844" s="222"/>
      <c r="I844" s="221">
        <f t="shared" si="8"/>
        <v>0</v>
      </c>
      <c r="J844" s="447"/>
    </row>
    <row r="845" spans="1:10" ht="15">
      <c r="A845" s="217"/>
      <c r="B845" s="218"/>
      <c r="C845" s="446"/>
      <c r="D845" s="218"/>
      <c r="E845" s="221"/>
      <c r="F845" s="224"/>
      <c r="G845" s="224"/>
      <c r="H845" s="222"/>
      <c r="I845" s="221">
        <f t="shared" si="8"/>
        <v>0</v>
      </c>
      <c r="J845" s="447"/>
    </row>
    <row r="846" spans="1:10" ht="15">
      <c r="A846" s="217"/>
      <c r="B846" s="218"/>
      <c r="C846" s="446"/>
      <c r="D846" s="218"/>
      <c r="E846" s="221"/>
      <c r="F846" s="224"/>
      <c r="G846" s="224"/>
      <c r="H846" s="222"/>
      <c r="I846" s="221">
        <f t="shared" si="8"/>
        <v>0</v>
      </c>
      <c r="J846" s="447"/>
    </row>
    <row r="847" spans="1:10" ht="15">
      <c r="A847" s="217"/>
      <c r="B847" s="218"/>
      <c r="C847" s="446"/>
      <c r="D847" s="218"/>
      <c r="E847" s="221"/>
      <c r="F847" s="224"/>
      <c r="G847" s="224"/>
      <c r="H847" s="222"/>
      <c r="I847" s="221">
        <f t="shared" si="8"/>
        <v>0</v>
      </c>
      <c r="J847" s="447"/>
    </row>
    <row r="848" spans="1:10" ht="15">
      <c r="A848" s="217"/>
      <c r="B848" s="218"/>
      <c r="C848" s="446"/>
      <c r="D848" s="218"/>
      <c r="E848" s="221"/>
      <c r="F848" s="224"/>
      <c r="G848" s="224"/>
      <c r="H848" s="222"/>
      <c r="I848" s="221">
        <f t="shared" si="8"/>
        <v>0</v>
      </c>
      <c r="J848" s="447"/>
    </row>
    <row r="849" spans="1:10" ht="15">
      <c r="A849" s="217"/>
      <c r="B849" s="218"/>
      <c r="C849" s="446"/>
      <c r="D849" s="218"/>
      <c r="E849" s="221"/>
      <c r="F849" s="224"/>
      <c r="G849" s="224"/>
      <c r="H849" s="222"/>
      <c r="I849" s="221">
        <f t="shared" si="8"/>
        <v>0</v>
      </c>
      <c r="J849" s="447"/>
    </row>
    <row r="850" spans="1:10" ht="15">
      <c r="A850" s="217"/>
      <c r="B850" s="218"/>
      <c r="C850" s="446"/>
      <c r="D850" s="218"/>
      <c r="E850" s="221"/>
      <c r="F850" s="224"/>
      <c r="G850" s="224"/>
      <c r="H850" s="222"/>
      <c r="I850" s="221">
        <f t="shared" si="8"/>
        <v>0</v>
      </c>
      <c r="J850" s="447"/>
    </row>
    <row r="851" spans="1:10" ht="15">
      <c r="A851" s="217"/>
      <c r="B851" s="218"/>
      <c r="C851" s="446"/>
      <c r="D851" s="218"/>
      <c r="E851" s="221"/>
      <c r="F851" s="224"/>
      <c r="G851" s="224"/>
      <c r="H851" s="222"/>
      <c r="I851" s="221">
        <f t="shared" si="8"/>
        <v>0</v>
      </c>
      <c r="J851" s="447"/>
    </row>
    <row r="852" spans="1:10" ht="15">
      <c r="A852" s="217"/>
      <c r="B852" s="218"/>
      <c r="C852" s="446"/>
      <c r="D852" s="218"/>
      <c r="E852" s="221"/>
      <c r="F852" s="224"/>
      <c r="G852" s="224"/>
      <c r="H852" s="222"/>
      <c r="I852" s="221">
        <f t="shared" si="8"/>
        <v>0</v>
      </c>
      <c r="J852" s="447"/>
    </row>
    <row r="853" spans="1:10" ht="15">
      <c r="A853" s="217"/>
      <c r="B853" s="218"/>
      <c r="C853" s="446"/>
      <c r="D853" s="218"/>
      <c r="E853" s="221"/>
      <c r="F853" s="224"/>
      <c r="G853" s="224"/>
      <c r="H853" s="222"/>
      <c r="I853" s="221">
        <f t="shared" si="8"/>
        <v>0</v>
      </c>
      <c r="J853" s="447"/>
    </row>
    <row r="854" spans="1:10" ht="15">
      <c r="A854" s="217"/>
      <c r="B854" s="218"/>
      <c r="C854" s="446"/>
      <c r="D854" s="218"/>
      <c r="E854" s="221"/>
      <c r="F854" s="224"/>
      <c r="G854" s="224"/>
      <c r="H854" s="222"/>
      <c r="I854" s="221">
        <f t="shared" si="8"/>
        <v>0</v>
      </c>
      <c r="J854" s="447"/>
    </row>
    <row r="855" spans="1:10" ht="15">
      <c r="A855" s="217"/>
      <c r="B855" s="218"/>
      <c r="C855" s="446"/>
      <c r="D855" s="218"/>
      <c r="E855" s="221"/>
      <c r="F855" s="224"/>
      <c r="G855" s="224"/>
      <c r="H855" s="222"/>
      <c r="I855" s="221">
        <f t="shared" si="8"/>
        <v>0</v>
      </c>
      <c r="J855" s="447"/>
    </row>
    <row r="856" spans="1:10" ht="15">
      <c r="A856" s="217"/>
      <c r="B856" s="218"/>
      <c r="C856" s="446"/>
      <c r="D856" s="218"/>
      <c r="E856" s="221"/>
      <c r="F856" s="224"/>
      <c r="G856" s="224"/>
      <c r="H856" s="222"/>
      <c r="I856" s="221">
        <f t="shared" si="8"/>
        <v>0</v>
      </c>
      <c r="J856" s="447"/>
    </row>
    <row r="857" spans="1:10" ht="15">
      <c r="A857" s="217"/>
      <c r="B857" s="218"/>
      <c r="C857" s="446"/>
      <c r="D857" s="218"/>
      <c r="E857" s="221"/>
      <c r="F857" s="224"/>
      <c r="G857" s="224"/>
      <c r="H857" s="222"/>
      <c r="I857" s="221">
        <f t="shared" si="8"/>
        <v>0</v>
      </c>
      <c r="J857" s="447"/>
    </row>
    <row r="858" spans="1:10" ht="15">
      <c r="A858" s="217"/>
      <c r="B858" s="218"/>
      <c r="C858" s="446"/>
      <c r="D858" s="218"/>
      <c r="E858" s="221"/>
      <c r="F858" s="224"/>
      <c r="G858" s="224"/>
      <c r="H858" s="222"/>
      <c r="I858" s="221">
        <f t="shared" si="8"/>
        <v>0</v>
      </c>
      <c r="J858" s="447"/>
    </row>
    <row r="859" spans="1:10" ht="15">
      <c r="A859" s="217"/>
      <c r="B859" s="218"/>
      <c r="C859" s="446"/>
      <c r="D859" s="218"/>
      <c r="E859" s="221"/>
      <c r="F859" s="224"/>
      <c r="G859" s="224"/>
      <c r="H859" s="222"/>
      <c r="I859" s="221">
        <f t="shared" si="8"/>
        <v>0</v>
      </c>
      <c r="J859" s="447"/>
    </row>
    <row r="860" spans="1:10" ht="15">
      <c r="A860" s="217"/>
      <c r="B860" s="218"/>
      <c r="C860" s="446"/>
      <c r="D860" s="226"/>
      <c r="E860" s="221"/>
      <c r="F860" s="224"/>
      <c r="G860" s="224"/>
      <c r="H860" s="222"/>
      <c r="I860" s="221">
        <f t="shared" si="8"/>
        <v>0</v>
      </c>
      <c r="J860" s="447"/>
    </row>
    <row r="861" spans="1:10" ht="15">
      <c r="A861" s="217"/>
      <c r="B861" s="218"/>
      <c r="C861" s="446"/>
      <c r="D861" s="218"/>
      <c r="E861" s="221"/>
      <c r="F861" s="224"/>
      <c r="G861" s="224"/>
      <c r="H861" s="222"/>
      <c r="I861" s="221">
        <f t="shared" si="8"/>
        <v>0</v>
      </c>
      <c r="J861" s="447"/>
    </row>
    <row r="862" spans="1:10" ht="15">
      <c r="A862" s="217"/>
      <c r="B862" s="218"/>
      <c r="C862" s="446"/>
      <c r="D862" s="218"/>
      <c r="E862" s="221"/>
      <c r="F862" s="224"/>
      <c r="G862" s="224"/>
      <c r="H862" s="222"/>
      <c r="I862" s="221">
        <f t="shared" si="8"/>
        <v>0</v>
      </c>
      <c r="J862" s="447"/>
    </row>
    <row r="863" spans="1:10" ht="15">
      <c r="A863" s="217"/>
      <c r="B863" s="218"/>
      <c r="C863" s="446"/>
      <c r="D863" s="218"/>
      <c r="E863" s="221"/>
      <c r="F863" s="224"/>
      <c r="G863" s="224"/>
      <c r="H863" s="222"/>
      <c r="I863" s="221">
        <f t="shared" si="8"/>
        <v>0</v>
      </c>
      <c r="J863" s="447"/>
    </row>
    <row r="864" spans="1:10" ht="15">
      <c r="A864" s="217"/>
      <c r="B864" s="218"/>
      <c r="C864" s="446"/>
      <c r="D864" s="218"/>
      <c r="E864" s="221"/>
      <c r="F864" s="224"/>
      <c r="G864" s="224"/>
      <c r="H864" s="222"/>
      <c r="I864" s="221">
        <f t="shared" si="8"/>
        <v>0</v>
      </c>
      <c r="J864" s="447"/>
    </row>
    <row r="865" spans="1:10" ht="15">
      <c r="A865" s="217"/>
      <c r="B865" s="218"/>
      <c r="C865" s="446"/>
      <c r="D865" s="218"/>
      <c r="E865" s="221"/>
      <c r="F865" s="224"/>
      <c r="G865" s="224"/>
      <c r="H865" s="222"/>
      <c r="I865" s="221">
        <f t="shared" si="8"/>
        <v>0</v>
      </c>
      <c r="J865" s="447"/>
    </row>
    <row r="866" spans="1:10" ht="15">
      <c r="A866" s="217"/>
      <c r="B866" s="218"/>
      <c r="C866" s="446"/>
      <c r="D866" s="218"/>
      <c r="E866" s="221"/>
      <c r="F866" s="224"/>
      <c r="G866" s="224"/>
      <c r="H866" s="222"/>
      <c r="I866" s="221">
        <f t="shared" si="8"/>
        <v>0</v>
      </c>
      <c r="J866" s="447"/>
    </row>
    <row r="867" spans="1:10" ht="15">
      <c r="A867" s="217"/>
      <c r="B867" s="218"/>
      <c r="C867" s="446"/>
      <c r="D867" s="218"/>
      <c r="E867" s="221"/>
      <c r="F867" s="224"/>
      <c r="G867" s="224"/>
      <c r="H867" s="222"/>
      <c r="I867" s="221">
        <f t="shared" si="8"/>
        <v>0</v>
      </c>
      <c r="J867" s="447"/>
    </row>
    <row r="868" spans="1:10" ht="15">
      <c r="A868" s="217"/>
      <c r="B868" s="218"/>
      <c r="C868" s="446"/>
      <c r="D868" s="218"/>
      <c r="E868" s="221"/>
      <c r="F868" s="448"/>
      <c r="G868" s="448"/>
      <c r="H868" s="222"/>
      <c r="I868" s="221">
        <f t="shared" si="8"/>
        <v>0</v>
      </c>
      <c r="J868" s="447"/>
    </row>
    <row r="869" spans="1:10" ht="15">
      <c r="A869" s="217"/>
      <c r="B869" s="218"/>
      <c r="C869" s="446"/>
      <c r="D869" s="218"/>
      <c r="E869" s="221"/>
      <c r="F869" s="448"/>
      <c r="G869" s="448"/>
      <c r="H869" s="222"/>
      <c r="I869" s="221">
        <f t="shared" si="8"/>
        <v>0</v>
      </c>
      <c r="J869" s="447"/>
    </row>
    <row r="870" spans="1:10" ht="15">
      <c r="A870" s="217"/>
      <c r="B870" s="218"/>
      <c r="C870" s="446"/>
      <c r="D870" s="218"/>
      <c r="E870" s="221"/>
      <c r="F870" s="448"/>
      <c r="G870" s="448"/>
      <c r="H870" s="222"/>
      <c r="I870" s="221">
        <f t="shared" si="8"/>
        <v>0</v>
      </c>
      <c r="J870" s="447"/>
    </row>
    <row r="871" spans="1:10" ht="15">
      <c r="A871" s="217"/>
      <c r="B871" s="218"/>
      <c r="C871" s="446"/>
      <c r="D871" s="218"/>
      <c r="E871" s="221"/>
      <c r="F871" s="448"/>
      <c r="G871" s="448"/>
      <c r="H871" s="222"/>
      <c r="I871" s="221">
        <f t="shared" si="8"/>
        <v>0</v>
      </c>
      <c r="J871" s="447"/>
    </row>
    <row r="872" spans="1:10" ht="15">
      <c r="A872" s="217"/>
      <c r="B872" s="218"/>
      <c r="C872" s="446"/>
      <c r="D872" s="218"/>
      <c r="E872" s="221"/>
      <c r="F872" s="448"/>
      <c r="G872" s="448"/>
      <c r="H872" s="222"/>
      <c r="I872" s="221">
        <f t="shared" si="8"/>
        <v>0</v>
      </c>
      <c r="J872" s="447"/>
    </row>
    <row r="873" spans="1:10" ht="15">
      <c r="A873" s="217"/>
      <c r="B873" s="218"/>
      <c r="C873" s="446"/>
      <c r="D873" s="218"/>
      <c r="E873" s="221"/>
      <c r="F873" s="448"/>
      <c r="G873" s="448"/>
      <c r="H873" s="222"/>
      <c r="I873" s="221">
        <f t="shared" si="8"/>
        <v>0</v>
      </c>
      <c r="J873" s="447"/>
    </row>
    <row r="874" spans="1:10" ht="15">
      <c r="A874" s="217"/>
      <c r="B874" s="218"/>
      <c r="C874" s="446"/>
      <c r="D874" s="218"/>
      <c r="E874" s="221"/>
      <c r="F874" s="448"/>
      <c r="G874" s="448"/>
      <c r="H874" s="222"/>
      <c r="I874" s="221">
        <f t="shared" si="8"/>
        <v>0</v>
      </c>
      <c r="J874" s="447"/>
    </row>
    <row r="875" spans="1:10" ht="15">
      <c r="A875" s="217"/>
      <c r="B875" s="218"/>
      <c r="C875" s="446"/>
      <c r="D875" s="218"/>
      <c r="E875" s="221"/>
      <c r="F875" s="448"/>
      <c r="G875" s="448"/>
      <c r="H875" s="222"/>
      <c r="I875" s="221">
        <f t="shared" si="8"/>
        <v>0</v>
      </c>
      <c r="J875" s="447"/>
    </row>
    <row r="876" spans="1:10" ht="15">
      <c r="A876" s="217"/>
      <c r="B876" s="218"/>
      <c r="C876" s="446"/>
      <c r="D876" s="218"/>
      <c r="E876" s="221"/>
      <c r="F876" s="448"/>
      <c r="G876" s="448"/>
      <c r="H876" s="222"/>
      <c r="I876" s="221">
        <f t="shared" si="8"/>
        <v>0</v>
      </c>
      <c r="J876" s="447"/>
    </row>
    <row r="877" spans="1:10" ht="15">
      <c r="A877" s="217"/>
      <c r="B877" s="218"/>
      <c r="C877" s="446"/>
      <c r="D877" s="218"/>
      <c r="E877" s="221"/>
      <c r="F877" s="448"/>
      <c r="G877" s="448"/>
      <c r="H877" s="222"/>
      <c r="I877" s="221">
        <f t="shared" si="8"/>
        <v>0</v>
      </c>
      <c r="J877" s="447"/>
    </row>
    <row r="878" spans="1:10" ht="15">
      <c r="A878" s="217"/>
      <c r="B878" s="218"/>
      <c r="C878" s="446"/>
      <c r="D878" s="218"/>
      <c r="E878" s="221"/>
      <c r="F878" s="448"/>
      <c r="G878" s="448"/>
      <c r="H878" s="222"/>
      <c r="I878" s="221">
        <f t="shared" si="8"/>
        <v>0</v>
      </c>
      <c r="J878" s="447"/>
    </row>
    <row r="879" spans="1:10" ht="15">
      <c r="A879" s="217"/>
      <c r="B879" s="218"/>
      <c r="C879" s="446"/>
      <c r="D879" s="218"/>
      <c r="E879" s="221"/>
      <c r="F879" s="448"/>
      <c r="G879" s="448"/>
      <c r="H879" s="222"/>
      <c r="I879" s="221">
        <f t="shared" si="8"/>
        <v>0</v>
      </c>
      <c r="J879" s="447"/>
    </row>
    <row r="880" spans="1:10" ht="15">
      <c r="A880" s="217"/>
      <c r="B880" s="218"/>
      <c r="C880" s="446"/>
      <c r="D880" s="218"/>
      <c r="E880" s="221"/>
      <c r="F880" s="448"/>
      <c r="G880" s="448"/>
      <c r="H880" s="222"/>
      <c r="I880" s="221">
        <f t="shared" si="8"/>
        <v>0</v>
      </c>
      <c r="J880" s="447"/>
    </row>
    <row r="881" spans="1:10" ht="15">
      <c r="A881" s="217"/>
      <c r="B881" s="218"/>
      <c r="C881" s="446"/>
      <c r="D881" s="218"/>
      <c r="E881" s="221"/>
      <c r="F881" s="448"/>
      <c r="G881" s="448"/>
      <c r="H881" s="222"/>
      <c r="I881" s="221">
        <f t="shared" si="8"/>
        <v>0</v>
      </c>
      <c r="J881" s="447"/>
    </row>
    <row r="882" spans="1:10" ht="15">
      <c r="A882" s="217"/>
      <c r="B882" s="218"/>
      <c r="C882" s="446"/>
      <c r="D882" s="218"/>
      <c r="E882" s="221"/>
      <c r="F882" s="448"/>
      <c r="G882" s="448"/>
      <c r="H882" s="222"/>
      <c r="I882" s="221">
        <f t="shared" si="8"/>
        <v>0</v>
      </c>
      <c r="J882" s="447"/>
    </row>
    <row r="883" spans="1:10" ht="15">
      <c r="A883" s="217"/>
      <c r="B883" s="218"/>
      <c r="C883" s="446"/>
      <c r="D883" s="218"/>
      <c r="E883" s="221"/>
      <c r="F883" s="448"/>
      <c r="G883" s="448"/>
      <c r="H883" s="222"/>
      <c r="I883" s="221">
        <f t="shared" si="8"/>
        <v>0</v>
      </c>
      <c r="J883" s="447"/>
    </row>
    <row r="884" spans="1:10" ht="15">
      <c r="A884" s="217"/>
      <c r="B884" s="218"/>
      <c r="C884" s="446"/>
      <c r="D884" s="218"/>
      <c r="E884" s="221"/>
      <c r="F884" s="448"/>
      <c r="G884" s="448"/>
      <c r="H884" s="222"/>
      <c r="I884" s="221">
        <f t="shared" si="8"/>
        <v>0</v>
      </c>
      <c r="J884" s="447"/>
    </row>
    <row r="885" spans="1:10" ht="15">
      <c r="A885" s="217"/>
      <c r="B885" s="218"/>
      <c r="C885" s="446"/>
      <c r="D885" s="218"/>
      <c r="E885" s="221"/>
      <c r="F885" s="448"/>
      <c r="G885" s="448"/>
      <c r="H885" s="222"/>
      <c r="I885" s="221">
        <f t="shared" si="8"/>
        <v>0</v>
      </c>
      <c r="J885" s="447"/>
    </row>
    <row r="886" spans="1:10" ht="15">
      <c r="A886" s="217"/>
      <c r="B886" s="218"/>
      <c r="C886" s="446"/>
      <c r="D886" s="218"/>
      <c r="E886" s="221"/>
      <c r="F886" s="448"/>
      <c r="G886" s="448"/>
      <c r="H886" s="222"/>
      <c r="I886" s="221">
        <f t="shared" si="8"/>
        <v>0</v>
      </c>
      <c r="J886" s="447"/>
    </row>
    <row r="887" spans="1:10" ht="15">
      <c r="A887" s="217"/>
      <c r="B887" s="218"/>
      <c r="C887" s="446"/>
      <c r="D887" s="218"/>
      <c r="E887" s="221"/>
      <c r="F887" s="448"/>
      <c r="G887" s="448"/>
      <c r="H887" s="222"/>
      <c r="I887" s="221">
        <f t="shared" si="8"/>
        <v>0</v>
      </c>
      <c r="J887" s="447"/>
    </row>
    <row r="888" spans="1:10" ht="15">
      <c r="A888" s="217"/>
      <c r="B888" s="218"/>
      <c r="C888" s="446"/>
      <c r="D888" s="218"/>
      <c r="E888" s="221"/>
      <c r="F888" s="448"/>
      <c r="G888" s="448"/>
      <c r="H888" s="222"/>
      <c r="I888" s="221">
        <f t="shared" si="8"/>
        <v>0</v>
      </c>
      <c r="J888" s="447"/>
    </row>
    <row r="889" spans="1:10" ht="15">
      <c r="A889" s="217"/>
      <c r="B889" s="218"/>
      <c r="C889" s="446"/>
      <c r="D889" s="218"/>
      <c r="E889" s="221"/>
      <c r="F889" s="448"/>
      <c r="G889" s="448"/>
      <c r="H889" s="222"/>
      <c r="I889" s="221">
        <f t="shared" si="8"/>
        <v>0</v>
      </c>
      <c r="J889" s="447"/>
    </row>
    <row r="890" spans="1:10" ht="15">
      <c r="A890" s="217"/>
      <c r="B890" s="218"/>
      <c r="C890" s="446"/>
      <c r="D890" s="218"/>
      <c r="E890" s="221"/>
      <c r="F890" s="448"/>
      <c r="G890" s="448"/>
      <c r="H890" s="222"/>
      <c r="I890" s="221">
        <f t="shared" si="8"/>
        <v>0</v>
      </c>
      <c r="J890" s="447"/>
    </row>
    <row r="891" spans="1:10" ht="15">
      <c r="A891" s="217"/>
      <c r="B891" s="218"/>
      <c r="C891" s="446"/>
      <c r="D891" s="218"/>
      <c r="E891" s="221"/>
      <c r="F891" s="448"/>
      <c r="G891" s="448"/>
      <c r="H891" s="222"/>
      <c r="I891" s="221">
        <f t="shared" si="8"/>
        <v>0</v>
      </c>
      <c r="J891" s="447"/>
    </row>
    <row r="892" spans="1:10" ht="15">
      <c r="A892" s="217"/>
      <c r="B892" s="218"/>
      <c r="C892" s="446"/>
      <c r="D892" s="218"/>
      <c r="E892" s="221"/>
      <c r="F892" s="448"/>
      <c r="G892" s="448"/>
      <c r="H892" s="222"/>
      <c r="I892" s="221">
        <f t="shared" si="8"/>
        <v>0</v>
      </c>
      <c r="J892" s="447"/>
    </row>
    <row r="893" spans="1:10" ht="15">
      <c r="A893" s="217"/>
      <c r="B893" s="218"/>
      <c r="C893" s="446"/>
      <c r="D893" s="218"/>
      <c r="E893" s="221"/>
      <c r="F893" s="448"/>
      <c r="G893" s="448"/>
      <c r="H893" s="222"/>
      <c r="I893" s="221">
        <f t="shared" si="8"/>
        <v>0</v>
      </c>
      <c r="J893" s="447"/>
    </row>
    <row r="894" spans="1:10" ht="15">
      <c r="A894" s="217"/>
      <c r="B894" s="218"/>
      <c r="C894" s="446"/>
      <c r="D894" s="218"/>
      <c r="E894" s="221"/>
      <c r="F894" s="448"/>
      <c r="G894" s="448"/>
      <c r="H894" s="222"/>
      <c r="I894" s="221">
        <f t="shared" si="8"/>
        <v>0</v>
      </c>
      <c r="J894" s="447"/>
    </row>
    <row r="895" spans="1:10" ht="15">
      <c r="A895" s="217"/>
      <c r="B895" s="218"/>
      <c r="C895" s="446"/>
      <c r="D895" s="218"/>
      <c r="E895" s="221"/>
      <c r="F895" s="448"/>
      <c r="G895" s="448"/>
      <c r="H895" s="222"/>
      <c r="I895" s="221">
        <f t="shared" si="8"/>
        <v>0</v>
      </c>
      <c r="J895" s="447"/>
    </row>
    <row r="896" spans="1:10" ht="15">
      <c r="A896" s="217"/>
      <c r="B896" s="218"/>
      <c r="C896" s="446"/>
      <c r="D896" s="218"/>
      <c r="E896" s="221"/>
      <c r="F896" s="448"/>
      <c r="G896" s="448"/>
      <c r="H896" s="222"/>
      <c r="I896" s="221">
        <f t="shared" si="8"/>
        <v>0</v>
      </c>
      <c r="J896" s="447"/>
    </row>
    <row r="897" spans="1:10" ht="15">
      <c r="A897" s="217"/>
      <c r="B897" s="218"/>
      <c r="C897" s="446"/>
      <c r="D897" s="218"/>
      <c r="E897" s="221"/>
      <c r="F897" s="448"/>
      <c r="G897" s="448"/>
      <c r="H897" s="222"/>
      <c r="I897" s="221">
        <f t="shared" si="8"/>
        <v>0</v>
      </c>
      <c r="J897" s="447"/>
    </row>
    <row r="898" spans="1:10" ht="15">
      <c r="A898" s="217"/>
      <c r="B898" s="218"/>
      <c r="C898" s="446"/>
      <c r="D898" s="218"/>
      <c r="E898" s="221"/>
      <c r="F898" s="448"/>
      <c r="G898" s="448"/>
      <c r="H898" s="222"/>
      <c r="I898" s="221">
        <f t="shared" si="8"/>
        <v>0</v>
      </c>
      <c r="J898" s="447"/>
    </row>
    <row r="899" spans="1:10" ht="15">
      <c r="A899" s="217"/>
      <c r="B899" s="218"/>
      <c r="C899" s="446"/>
      <c r="D899" s="218"/>
      <c r="E899" s="221"/>
      <c r="F899" s="448"/>
      <c r="G899" s="448"/>
      <c r="H899" s="222"/>
      <c r="I899" s="221">
        <f t="shared" si="8"/>
        <v>0</v>
      </c>
      <c r="J899" s="447"/>
    </row>
    <row r="900" spans="1:10" ht="15">
      <c r="A900" s="217"/>
      <c r="B900" s="218"/>
      <c r="C900" s="446"/>
      <c r="D900" s="218"/>
      <c r="E900" s="221"/>
      <c r="F900" s="448"/>
      <c r="G900" s="448"/>
      <c r="H900" s="222"/>
      <c r="I900" s="221">
        <f t="shared" si="8"/>
        <v>0</v>
      </c>
      <c r="J900" s="447"/>
    </row>
    <row r="901" spans="1:10" ht="15">
      <c r="A901" s="217"/>
      <c r="B901" s="218"/>
      <c r="C901" s="446"/>
      <c r="D901" s="218"/>
      <c r="E901" s="221"/>
      <c r="F901" s="448"/>
      <c r="G901" s="448"/>
      <c r="H901" s="222"/>
      <c r="I901" s="221">
        <f t="shared" si="8"/>
        <v>0</v>
      </c>
      <c r="J901" s="447"/>
    </row>
    <row r="902" spans="1:10" ht="15">
      <c r="A902" s="217"/>
      <c r="B902" s="218"/>
      <c r="C902" s="446"/>
      <c r="D902" s="218"/>
      <c r="E902" s="221"/>
      <c r="F902" s="448"/>
      <c r="G902" s="448"/>
      <c r="H902" s="222"/>
      <c r="I902" s="221">
        <f t="shared" si="8"/>
        <v>0</v>
      </c>
      <c r="J902" s="447"/>
    </row>
    <row r="903" spans="1:10" ht="15">
      <c r="A903" s="217"/>
      <c r="B903" s="218"/>
      <c r="C903" s="446"/>
      <c r="D903" s="218"/>
      <c r="E903" s="221"/>
      <c r="F903" s="448"/>
      <c r="G903" s="448"/>
      <c r="H903" s="222"/>
      <c r="I903" s="221">
        <f t="shared" si="8"/>
        <v>0</v>
      </c>
      <c r="J903" s="447"/>
    </row>
    <row r="904" spans="1:10" ht="15">
      <c r="A904" s="217"/>
      <c r="B904" s="218"/>
      <c r="C904" s="446"/>
      <c r="D904" s="218"/>
      <c r="E904" s="221"/>
      <c r="F904" s="448"/>
      <c r="G904" s="448"/>
      <c r="H904" s="222"/>
      <c r="I904" s="221">
        <f t="shared" si="8"/>
        <v>0</v>
      </c>
      <c r="J904" s="447"/>
    </row>
    <row r="905" spans="1:10" ht="15">
      <c r="A905" s="217"/>
      <c r="B905" s="218"/>
      <c r="C905" s="446"/>
      <c r="D905" s="218"/>
      <c r="E905" s="221"/>
      <c r="F905" s="448"/>
      <c r="G905" s="448"/>
      <c r="H905" s="222"/>
      <c r="I905" s="221">
        <f t="shared" si="8"/>
        <v>0</v>
      </c>
      <c r="J905" s="447"/>
    </row>
    <row r="906" spans="1:10" ht="15">
      <c r="A906" s="217"/>
      <c r="B906" s="218"/>
      <c r="C906" s="446"/>
      <c r="D906" s="218"/>
      <c r="E906" s="221"/>
      <c r="F906" s="448"/>
      <c r="G906" s="448"/>
      <c r="H906" s="222"/>
      <c r="I906" s="221">
        <f t="shared" si="8"/>
        <v>0</v>
      </c>
      <c r="J906" s="447"/>
    </row>
    <row r="907" spans="1:10" ht="15">
      <c r="A907" s="217"/>
      <c r="B907" s="218"/>
      <c r="C907" s="446"/>
      <c r="D907" s="218"/>
      <c r="E907" s="221"/>
      <c r="F907" s="448"/>
      <c r="G907" s="448"/>
      <c r="H907" s="222"/>
      <c r="I907" s="221">
        <f t="shared" si="8"/>
        <v>0</v>
      </c>
      <c r="J907" s="447"/>
    </row>
    <row r="908" spans="1:10" ht="15">
      <c r="A908" s="217"/>
      <c r="B908" s="218"/>
      <c r="C908" s="446"/>
      <c r="D908" s="218"/>
      <c r="E908" s="221"/>
      <c r="F908" s="448"/>
      <c r="G908" s="448"/>
      <c r="H908" s="222"/>
      <c r="I908" s="221">
        <f t="shared" si="8"/>
        <v>0</v>
      </c>
      <c r="J908" s="447"/>
    </row>
    <row r="909" spans="1:10" ht="15">
      <c r="A909" s="217"/>
      <c r="B909" s="218"/>
      <c r="C909" s="446"/>
      <c r="D909" s="218"/>
      <c r="E909" s="221"/>
      <c r="F909" s="448"/>
      <c r="G909" s="448"/>
      <c r="H909" s="222"/>
      <c r="I909" s="221">
        <f t="shared" si="8"/>
        <v>0</v>
      </c>
      <c r="J909" s="447"/>
    </row>
    <row r="910" spans="1:10" ht="15">
      <c r="A910" s="217"/>
      <c r="B910" s="218"/>
      <c r="C910" s="446"/>
      <c r="D910" s="218"/>
      <c r="E910" s="221"/>
      <c r="F910" s="448"/>
      <c r="G910" s="448"/>
      <c r="H910" s="222"/>
      <c r="I910" s="221">
        <f t="shared" si="8"/>
        <v>0</v>
      </c>
      <c r="J910" s="447"/>
    </row>
    <row r="911" spans="1:10" ht="15">
      <c r="A911" s="217"/>
      <c r="B911" s="218"/>
      <c r="C911" s="446"/>
      <c r="D911" s="218"/>
      <c r="E911" s="221"/>
      <c r="F911" s="448"/>
      <c r="G911" s="448"/>
      <c r="H911" s="222"/>
      <c r="I911" s="221">
        <f t="shared" si="8"/>
        <v>0</v>
      </c>
      <c r="J911" s="447"/>
    </row>
    <row r="912" spans="1:10" ht="15">
      <c r="A912" s="217"/>
      <c r="B912" s="218"/>
      <c r="C912" s="446"/>
      <c r="D912" s="218"/>
      <c r="E912" s="221"/>
      <c r="F912" s="448"/>
      <c r="G912" s="448"/>
      <c r="H912" s="222"/>
      <c r="I912" s="221">
        <f t="shared" si="8"/>
        <v>0</v>
      </c>
      <c r="J912" s="447"/>
    </row>
    <row r="913" spans="1:11" ht="15">
      <c r="A913" s="217"/>
      <c r="B913" s="218"/>
      <c r="C913" s="446"/>
      <c r="D913" s="218"/>
      <c r="E913" s="221"/>
      <c r="F913" s="448"/>
      <c r="G913" s="448"/>
      <c r="H913" s="222"/>
      <c r="I913" s="221">
        <f t="shared" si="8"/>
        <v>0</v>
      </c>
      <c r="J913" s="447"/>
    </row>
    <row r="914" spans="1:11" ht="15">
      <c r="A914" s="217"/>
      <c r="B914" s="218"/>
      <c r="C914" s="446"/>
      <c r="D914" s="218"/>
      <c r="E914" s="221"/>
      <c r="F914" s="448"/>
      <c r="G914" s="448"/>
      <c r="H914" s="222"/>
      <c r="I914" s="221">
        <f t="shared" si="8"/>
        <v>0</v>
      </c>
      <c r="J914" s="447"/>
    </row>
    <row r="915" spans="1:11" ht="15">
      <c r="A915" s="217"/>
      <c r="B915" s="218"/>
      <c r="C915" s="446"/>
      <c r="D915" s="218"/>
      <c r="E915" s="221"/>
      <c r="F915" s="448"/>
      <c r="G915" s="448"/>
      <c r="H915" s="222"/>
      <c r="I915" s="221">
        <f t="shared" si="8"/>
        <v>0</v>
      </c>
      <c r="J915" s="447"/>
    </row>
    <row r="916" spans="1:11" ht="15">
      <c r="A916" s="217"/>
      <c r="B916" s="218"/>
      <c r="C916" s="446"/>
      <c r="D916" s="218"/>
      <c r="E916" s="221"/>
      <c r="F916" s="448"/>
      <c r="G916" s="448"/>
      <c r="H916" s="222"/>
      <c r="I916" s="221">
        <f t="shared" si="8"/>
        <v>0</v>
      </c>
      <c r="J916" s="447"/>
    </row>
    <row r="917" spans="1:11" ht="15">
      <c r="A917" s="217"/>
      <c r="B917" s="218"/>
      <c r="C917" s="446"/>
      <c r="D917" s="218"/>
      <c r="E917" s="221"/>
      <c r="F917" s="448"/>
      <c r="G917" s="448"/>
      <c r="H917" s="222"/>
      <c r="I917" s="221">
        <f t="shared" si="8"/>
        <v>0</v>
      </c>
      <c r="J917" s="447"/>
    </row>
    <row r="918" spans="1:11">
      <c r="A918" s="217"/>
      <c r="B918" s="218"/>
      <c r="C918" s="446"/>
      <c r="D918" s="218"/>
      <c r="E918" s="221"/>
      <c r="F918" s="448"/>
      <c r="G918" s="448"/>
      <c r="H918" s="222"/>
      <c r="I918" s="221">
        <f t="shared" si="8"/>
        <v>0</v>
      </c>
      <c r="J918" s="218" t="s">
        <v>56</v>
      </c>
      <c r="K918" s="449">
        <f>SUM(E822:E921)</f>
        <v>0</v>
      </c>
    </row>
    <row r="919" spans="1:11">
      <c r="A919" s="217"/>
      <c r="B919" s="218"/>
      <c r="C919" s="446"/>
      <c r="D919" s="218"/>
      <c r="E919" s="221"/>
      <c r="F919" s="448"/>
      <c r="G919" s="448"/>
      <c r="H919" s="222"/>
      <c r="I919" s="221">
        <f t="shared" si="8"/>
        <v>0</v>
      </c>
      <c r="J919" s="218" t="s">
        <v>160</v>
      </c>
      <c r="K919" s="449">
        <f>SUM(F822:F921)</f>
        <v>0</v>
      </c>
    </row>
    <row r="920" spans="1:11">
      <c r="A920" s="217"/>
      <c r="B920" s="218"/>
      <c r="C920" s="446"/>
      <c r="D920" s="218"/>
      <c r="E920" s="221"/>
      <c r="F920" s="448"/>
      <c r="G920" s="448"/>
      <c r="H920" s="222"/>
      <c r="I920" s="221">
        <f t="shared" si="8"/>
        <v>0</v>
      </c>
      <c r="J920" s="218" t="s">
        <v>72</v>
      </c>
      <c r="K920" s="449">
        <f>SUM(G822:G921)</f>
        <v>0</v>
      </c>
    </row>
    <row r="921" spans="1:11">
      <c r="A921" s="217"/>
      <c r="B921" s="218"/>
      <c r="C921" s="446"/>
      <c r="D921" s="218"/>
      <c r="E921" s="221"/>
      <c r="F921" s="448"/>
      <c r="G921" s="448"/>
      <c r="H921" s="222"/>
      <c r="I921" s="221">
        <f t="shared" si="8"/>
        <v>0</v>
      </c>
      <c r="J921" s="218" t="s">
        <v>162</v>
      </c>
      <c r="K921" s="449">
        <f>SUM(H822:H921)</f>
        <v>0</v>
      </c>
    </row>
    <row r="922" spans="1:11">
      <c r="A922" s="218"/>
      <c r="B922" s="218"/>
      <c r="C922" s="218"/>
      <c r="D922" s="218"/>
      <c r="E922" s="218"/>
      <c r="F922" s="218"/>
      <c r="G922" s="218"/>
      <c r="H922" s="222"/>
      <c r="J922" s="452" t="s">
        <v>163</v>
      </c>
      <c r="K922" s="450">
        <f>SUM(K918:K921)</f>
        <v>0</v>
      </c>
    </row>
    <row r="923" spans="1:11" thickBot="1">
      <c r="A923" s="485" t="s">
        <v>28</v>
      </c>
      <c r="B923" s="486"/>
      <c r="C923" s="486"/>
      <c r="D923" s="486"/>
      <c r="E923" s="486"/>
      <c r="F923" s="486"/>
      <c r="G923" s="486"/>
      <c r="H923" s="486"/>
      <c r="I923" s="486"/>
      <c r="J923" s="486"/>
    </row>
    <row r="924" spans="1:11" ht="15">
      <c r="A924" s="217"/>
      <c r="B924" s="218"/>
      <c r="C924" s="446"/>
      <c r="D924" s="218"/>
      <c r="E924" s="221"/>
      <c r="F924" s="222"/>
      <c r="G924" s="221"/>
      <c r="H924" s="221"/>
      <c r="I924" s="221">
        <f t="shared" ref="I924:I1023" si="9">SUM(E924:H924)</f>
        <v>0</v>
      </c>
      <c r="J924" s="447"/>
    </row>
    <row r="925" spans="1:11" ht="15">
      <c r="A925" s="217"/>
      <c r="B925" s="218"/>
      <c r="C925" s="446"/>
      <c r="D925" s="218"/>
      <c r="E925" s="222"/>
      <c r="F925" s="222"/>
      <c r="G925" s="221"/>
      <c r="H925" s="222"/>
      <c r="I925" s="221">
        <f t="shared" si="9"/>
        <v>0</v>
      </c>
      <c r="J925" s="447"/>
    </row>
    <row r="926" spans="1:11" ht="15">
      <c r="A926" s="217"/>
      <c r="B926" s="218"/>
      <c r="C926" s="446"/>
      <c r="D926" s="218"/>
      <c r="E926" s="221"/>
      <c r="F926" s="222"/>
      <c r="G926" s="221"/>
      <c r="H926" s="221"/>
      <c r="I926" s="221">
        <f t="shared" si="9"/>
        <v>0</v>
      </c>
      <c r="J926" s="447"/>
    </row>
    <row r="927" spans="1:11" ht="15">
      <c r="A927" s="217"/>
      <c r="B927" s="218"/>
      <c r="C927" s="446"/>
      <c r="D927" s="218"/>
      <c r="E927" s="221"/>
      <c r="F927" s="222"/>
      <c r="G927" s="221"/>
      <c r="H927" s="221"/>
      <c r="I927" s="221">
        <f t="shared" si="9"/>
        <v>0</v>
      </c>
      <c r="J927" s="447"/>
    </row>
    <row r="928" spans="1:11" ht="15">
      <c r="A928" s="217"/>
      <c r="B928" s="218"/>
      <c r="C928" s="446"/>
      <c r="D928" s="218"/>
      <c r="E928" s="222"/>
      <c r="F928" s="222"/>
      <c r="G928" s="221"/>
      <c r="H928" s="222"/>
      <c r="I928" s="221">
        <f t="shared" si="9"/>
        <v>0</v>
      </c>
      <c r="J928" s="447"/>
    </row>
    <row r="929" spans="1:10" ht="15">
      <c r="A929" s="217"/>
      <c r="B929" s="218"/>
      <c r="C929" s="446"/>
      <c r="D929" s="218"/>
      <c r="E929" s="221"/>
      <c r="F929" s="222"/>
      <c r="G929" s="221"/>
      <c r="H929" s="221"/>
      <c r="I929" s="221">
        <f t="shared" si="9"/>
        <v>0</v>
      </c>
      <c r="J929" s="447"/>
    </row>
    <row r="930" spans="1:10" ht="15">
      <c r="A930" s="217"/>
      <c r="B930" s="218"/>
      <c r="C930" s="446"/>
      <c r="D930" s="218"/>
      <c r="E930" s="221"/>
      <c r="F930" s="222"/>
      <c r="G930" s="221"/>
      <c r="H930" s="221"/>
      <c r="I930" s="221">
        <f t="shared" si="9"/>
        <v>0</v>
      </c>
      <c r="J930" s="447"/>
    </row>
    <row r="931" spans="1:10" ht="15">
      <c r="A931" s="217"/>
      <c r="B931" s="218"/>
      <c r="C931" s="446"/>
      <c r="D931" s="218"/>
      <c r="E931" s="221"/>
      <c r="F931" s="222"/>
      <c r="G931" s="221"/>
      <c r="H931" s="221"/>
      <c r="I931" s="221">
        <f t="shared" si="9"/>
        <v>0</v>
      </c>
      <c r="J931" s="447"/>
    </row>
    <row r="932" spans="1:10" ht="15">
      <c r="A932" s="217"/>
      <c r="B932" s="218"/>
      <c r="C932" s="446"/>
      <c r="D932" s="218"/>
      <c r="E932" s="222"/>
      <c r="F932" s="222"/>
      <c r="G932" s="221"/>
      <c r="H932" s="222"/>
      <c r="I932" s="221">
        <f t="shared" si="9"/>
        <v>0</v>
      </c>
      <c r="J932" s="447"/>
    </row>
    <row r="933" spans="1:10" ht="15">
      <c r="A933" s="217"/>
      <c r="B933" s="218"/>
      <c r="C933" s="446"/>
      <c r="D933" s="218"/>
      <c r="E933" s="222"/>
      <c r="F933" s="222"/>
      <c r="G933" s="221"/>
      <c r="H933" s="222"/>
      <c r="I933" s="221">
        <f t="shared" si="9"/>
        <v>0</v>
      </c>
      <c r="J933" s="447"/>
    </row>
    <row r="934" spans="1:10" ht="15">
      <c r="A934" s="217"/>
      <c r="B934" s="218"/>
      <c r="C934" s="446"/>
      <c r="D934" s="218"/>
      <c r="E934" s="221"/>
      <c r="F934" s="222"/>
      <c r="G934" s="221"/>
      <c r="H934" s="221"/>
      <c r="I934" s="221">
        <f t="shared" si="9"/>
        <v>0</v>
      </c>
      <c r="J934" s="447"/>
    </row>
    <row r="935" spans="1:10" ht="15">
      <c r="A935" s="217"/>
      <c r="B935" s="218"/>
      <c r="C935" s="446"/>
      <c r="D935" s="218"/>
      <c r="E935" s="221"/>
      <c r="F935" s="222"/>
      <c r="G935" s="221"/>
      <c r="H935" s="221"/>
      <c r="I935" s="221">
        <f t="shared" si="9"/>
        <v>0</v>
      </c>
      <c r="J935" s="447"/>
    </row>
    <row r="936" spans="1:10" ht="15">
      <c r="A936" s="217"/>
      <c r="B936" s="218"/>
      <c r="C936" s="446"/>
      <c r="D936" s="218"/>
      <c r="E936" s="221"/>
      <c r="F936" s="222"/>
      <c r="G936" s="221"/>
      <c r="H936" s="221"/>
      <c r="I936" s="221">
        <f t="shared" si="9"/>
        <v>0</v>
      </c>
      <c r="J936" s="447"/>
    </row>
    <row r="937" spans="1:10" ht="15">
      <c r="A937" s="217"/>
      <c r="B937" s="218"/>
      <c r="C937" s="446"/>
      <c r="D937" s="218"/>
      <c r="E937" s="222"/>
      <c r="F937" s="222"/>
      <c r="G937" s="221"/>
      <c r="H937" s="222"/>
      <c r="I937" s="221">
        <f t="shared" si="9"/>
        <v>0</v>
      </c>
      <c r="J937" s="447"/>
    </row>
    <row r="938" spans="1:10" ht="15">
      <c r="A938" s="217"/>
      <c r="B938" s="218"/>
      <c r="C938" s="446"/>
      <c r="D938" s="218"/>
      <c r="E938" s="222"/>
      <c r="F938" s="222"/>
      <c r="G938" s="221"/>
      <c r="H938" s="222"/>
      <c r="I938" s="221">
        <f t="shared" si="9"/>
        <v>0</v>
      </c>
      <c r="J938" s="447"/>
    </row>
    <row r="939" spans="1:10" ht="15">
      <c r="A939" s="217"/>
      <c r="B939" s="218"/>
      <c r="C939" s="446"/>
      <c r="D939" s="218"/>
      <c r="E939" s="222"/>
      <c r="F939" s="222"/>
      <c r="G939" s="221"/>
      <c r="H939" s="222"/>
      <c r="I939" s="221">
        <f t="shared" si="9"/>
        <v>0</v>
      </c>
      <c r="J939" s="447"/>
    </row>
    <row r="940" spans="1:10" ht="15">
      <c r="A940" s="217"/>
      <c r="B940" s="218"/>
      <c r="C940" s="446"/>
      <c r="D940" s="218"/>
      <c r="E940" s="222"/>
      <c r="F940" s="222"/>
      <c r="G940" s="221"/>
      <c r="H940" s="222"/>
      <c r="I940" s="221">
        <f t="shared" si="9"/>
        <v>0</v>
      </c>
      <c r="J940" s="447"/>
    </row>
    <row r="941" spans="1:10" ht="15">
      <c r="A941" s="217"/>
      <c r="B941" s="218"/>
      <c r="C941" s="446"/>
      <c r="D941" s="218"/>
      <c r="E941" s="222"/>
      <c r="F941" s="222"/>
      <c r="G941" s="221"/>
      <c r="H941" s="222"/>
      <c r="I941" s="221">
        <f t="shared" si="9"/>
        <v>0</v>
      </c>
      <c r="J941" s="447"/>
    </row>
    <row r="942" spans="1:10" ht="15">
      <c r="A942" s="217"/>
      <c r="B942" s="218"/>
      <c r="C942" s="446"/>
      <c r="D942" s="218"/>
      <c r="E942" s="222"/>
      <c r="F942" s="222"/>
      <c r="G942" s="221"/>
      <c r="H942" s="222"/>
      <c r="I942" s="221">
        <f t="shared" si="9"/>
        <v>0</v>
      </c>
      <c r="J942" s="447"/>
    </row>
    <row r="943" spans="1:10" ht="15">
      <c r="A943" s="217"/>
      <c r="B943" s="218"/>
      <c r="C943" s="446"/>
      <c r="D943" s="218"/>
      <c r="E943" s="222"/>
      <c r="F943" s="222"/>
      <c r="G943" s="221"/>
      <c r="H943" s="222"/>
      <c r="I943" s="221">
        <f t="shared" si="9"/>
        <v>0</v>
      </c>
      <c r="J943" s="447"/>
    </row>
    <row r="944" spans="1:10" ht="15">
      <c r="A944" s="217"/>
      <c r="B944" s="218"/>
      <c r="C944" s="446"/>
      <c r="D944" s="218"/>
      <c r="E944" s="221"/>
      <c r="F944" s="224"/>
      <c r="G944" s="224"/>
      <c r="H944" s="222"/>
      <c r="I944" s="221">
        <f t="shared" si="9"/>
        <v>0</v>
      </c>
      <c r="J944" s="447"/>
    </row>
    <row r="945" spans="1:10" ht="15">
      <c r="A945" s="217"/>
      <c r="B945" s="218"/>
      <c r="C945" s="446"/>
      <c r="D945" s="226"/>
      <c r="E945" s="221"/>
      <c r="F945" s="224"/>
      <c r="G945" s="224"/>
      <c r="H945" s="222"/>
      <c r="I945" s="221">
        <f t="shared" si="9"/>
        <v>0</v>
      </c>
      <c r="J945" s="447"/>
    </row>
    <row r="946" spans="1:10" ht="15">
      <c r="A946" s="217"/>
      <c r="B946" s="218"/>
      <c r="C946" s="446"/>
      <c r="D946" s="218"/>
      <c r="E946" s="221"/>
      <c r="F946" s="224"/>
      <c r="G946" s="224"/>
      <c r="H946" s="222"/>
      <c r="I946" s="221">
        <f t="shared" si="9"/>
        <v>0</v>
      </c>
      <c r="J946" s="447"/>
    </row>
    <row r="947" spans="1:10" ht="15">
      <c r="A947" s="217"/>
      <c r="B947" s="218"/>
      <c r="C947" s="446"/>
      <c r="D947" s="218"/>
      <c r="E947" s="221"/>
      <c r="F947" s="224"/>
      <c r="G947" s="224"/>
      <c r="H947" s="222"/>
      <c r="I947" s="221">
        <f t="shared" si="9"/>
        <v>0</v>
      </c>
      <c r="J947" s="447"/>
    </row>
    <row r="948" spans="1:10" ht="15">
      <c r="A948" s="217"/>
      <c r="B948" s="218"/>
      <c r="C948" s="446"/>
      <c r="D948" s="218"/>
      <c r="E948" s="221"/>
      <c r="F948" s="224"/>
      <c r="G948" s="224"/>
      <c r="H948" s="222"/>
      <c r="I948" s="221">
        <f t="shared" si="9"/>
        <v>0</v>
      </c>
      <c r="J948" s="447"/>
    </row>
    <row r="949" spans="1:10" ht="15">
      <c r="A949" s="217"/>
      <c r="B949" s="218"/>
      <c r="C949" s="446"/>
      <c r="D949" s="218"/>
      <c r="E949" s="221"/>
      <c r="F949" s="224"/>
      <c r="G949" s="224"/>
      <c r="H949" s="222"/>
      <c r="I949" s="221">
        <f t="shared" si="9"/>
        <v>0</v>
      </c>
      <c r="J949" s="447"/>
    </row>
    <row r="950" spans="1:10" ht="15">
      <c r="A950" s="217"/>
      <c r="B950" s="218"/>
      <c r="C950" s="446"/>
      <c r="D950" s="218"/>
      <c r="E950" s="221"/>
      <c r="F950" s="224"/>
      <c r="G950" s="224"/>
      <c r="H950" s="222"/>
      <c r="I950" s="221">
        <f t="shared" si="9"/>
        <v>0</v>
      </c>
      <c r="J950" s="447"/>
    </row>
    <row r="951" spans="1:10" ht="15">
      <c r="A951" s="217"/>
      <c r="B951" s="218"/>
      <c r="C951" s="446"/>
      <c r="D951" s="218"/>
      <c r="E951" s="221"/>
      <c r="F951" s="224"/>
      <c r="G951" s="224"/>
      <c r="H951" s="222"/>
      <c r="I951" s="221">
        <f t="shared" si="9"/>
        <v>0</v>
      </c>
      <c r="J951" s="447"/>
    </row>
    <row r="952" spans="1:10" ht="15">
      <c r="A952" s="217"/>
      <c r="B952" s="218"/>
      <c r="C952" s="446"/>
      <c r="D952" s="218"/>
      <c r="E952" s="221"/>
      <c r="F952" s="224"/>
      <c r="G952" s="224"/>
      <c r="H952" s="222"/>
      <c r="I952" s="221">
        <f t="shared" si="9"/>
        <v>0</v>
      </c>
      <c r="J952" s="447"/>
    </row>
    <row r="953" spans="1:10" ht="15">
      <c r="A953" s="217"/>
      <c r="B953" s="218"/>
      <c r="C953" s="446"/>
      <c r="D953" s="218"/>
      <c r="E953" s="221"/>
      <c r="F953" s="224"/>
      <c r="G953" s="224"/>
      <c r="H953" s="222"/>
      <c r="I953" s="221">
        <f t="shared" si="9"/>
        <v>0</v>
      </c>
      <c r="J953" s="447"/>
    </row>
    <row r="954" spans="1:10" ht="15">
      <c r="A954" s="217"/>
      <c r="B954" s="218"/>
      <c r="C954" s="446"/>
      <c r="D954" s="218"/>
      <c r="E954" s="221"/>
      <c r="F954" s="224"/>
      <c r="G954" s="224"/>
      <c r="H954" s="222"/>
      <c r="I954" s="221">
        <f t="shared" si="9"/>
        <v>0</v>
      </c>
      <c r="J954" s="447"/>
    </row>
    <row r="955" spans="1:10" ht="15">
      <c r="A955" s="217"/>
      <c r="B955" s="218"/>
      <c r="C955" s="446"/>
      <c r="D955" s="218"/>
      <c r="E955" s="221"/>
      <c r="F955" s="224"/>
      <c r="G955" s="224"/>
      <c r="H955" s="222"/>
      <c r="I955" s="221">
        <f t="shared" si="9"/>
        <v>0</v>
      </c>
      <c r="J955" s="447"/>
    </row>
    <row r="956" spans="1:10" ht="15">
      <c r="A956" s="217"/>
      <c r="B956" s="218"/>
      <c r="C956" s="446"/>
      <c r="D956" s="218"/>
      <c r="E956" s="221"/>
      <c r="F956" s="224"/>
      <c r="G956" s="224"/>
      <c r="H956" s="222"/>
      <c r="I956" s="221">
        <f t="shared" si="9"/>
        <v>0</v>
      </c>
      <c r="J956" s="447"/>
    </row>
    <row r="957" spans="1:10" ht="15">
      <c r="A957" s="217"/>
      <c r="B957" s="218"/>
      <c r="C957" s="446"/>
      <c r="D957" s="218"/>
      <c r="E957" s="221"/>
      <c r="F957" s="224"/>
      <c r="G957" s="224"/>
      <c r="H957" s="222"/>
      <c r="I957" s="221">
        <f t="shared" si="9"/>
        <v>0</v>
      </c>
      <c r="J957" s="447"/>
    </row>
    <row r="958" spans="1:10" ht="15">
      <c r="A958" s="217"/>
      <c r="B958" s="218"/>
      <c r="C958" s="446"/>
      <c r="D958" s="218"/>
      <c r="E958" s="221"/>
      <c r="F958" s="224"/>
      <c r="G958" s="224"/>
      <c r="H958" s="222"/>
      <c r="I958" s="221">
        <f t="shared" si="9"/>
        <v>0</v>
      </c>
      <c r="J958" s="447"/>
    </row>
    <row r="959" spans="1:10" ht="15">
      <c r="A959" s="217"/>
      <c r="B959" s="218"/>
      <c r="C959" s="446"/>
      <c r="D959" s="218"/>
      <c r="E959" s="221"/>
      <c r="F959" s="224"/>
      <c r="G959" s="224"/>
      <c r="H959" s="222"/>
      <c r="I959" s="221">
        <f t="shared" si="9"/>
        <v>0</v>
      </c>
      <c r="J959" s="447"/>
    </row>
    <row r="960" spans="1:10" ht="15">
      <c r="A960" s="217"/>
      <c r="B960" s="218"/>
      <c r="C960" s="446"/>
      <c r="D960" s="218"/>
      <c r="E960" s="221"/>
      <c r="F960" s="224"/>
      <c r="G960" s="224"/>
      <c r="H960" s="222"/>
      <c r="I960" s="221">
        <f t="shared" si="9"/>
        <v>0</v>
      </c>
      <c r="J960" s="447"/>
    </row>
    <row r="961" spans="1:10" ht="15">
      <c r="A961" s="217"/>
      <c r="B961" s="218"/>
      <c r="C961" s="446"/>
      <c r="D961" s="218"/>
      <c r="E961" s="221"/>
      <c r="F961" s="224"/>
      <c r="G961" s="224"/>
      <c r="H961" s="222"/>
      <c r="I961" s="221">
        <f t="shared" si="9"/>
        <v>0</v>
      </c>
      <c r="J961" s="447"/>
    </row>
    <row r="962" spans="1:10" ht="15">
      <c r="A962" s="217"/>
      <c r="B962" s="218"/>
      <c r="C962" s="446"/>
      <c r="D962" s="226"/>
      <c r="E962" s="221"/>
      <c r="F962" s="224"/>
      <c r="G962" s="224"/>
      <c r="H962" s="222"/>
      <c r="I962" s="221">
        <f t="shared" si="9"/>
        <v>0</v>
      </c>
      <c r="J962" s="447"/>
    </row>
    <row r="963" spans="1:10" ht="15">
      <c r="A963" s="217"/>
      <c r="B963" s="218"/>
      <c r="C963" s="446"/>
      <c r="D963" s="218"/>
      <c r="E963" s="221"/>
      <c r="F963" s="224"/>
      <c r="G963" s="224"/>
      <c r="H963" s="222"/>
      <c r="I963" s="221">
        <f t="shared" si="9"/>
        <v>0</v>
      </c>
      <c r="J963" s="447"/>
    </row>
    <row r="964" spans="1:10" ht="15">
      <c r="A964" s="217"/>
      <c r="B964" s="218"/>
      <c r="C964" s="446"/>
      <c r="D964" s="218"/>
      <c r="E964" s="221"/>
      <c r="F964" s="224"/>
      <c r="G964" s="224"/>
      <c r="H964" s="222"/>
      <c r="I964" s="221">
        <f t="shared" si="9"/>
        <v>0</v>
      </c>
      <c r="J964" s="447"/>
    </row>
    <row r="965" spans="1:10" ht="15">
      <c r="A965" s="217"/>
      <c r="B965" s="218"/>
      <c r="C965" s="446"/>
      <c r="D965" s="218"/>
      <c r="E965" s="221"/>
      <c r="F965" s="224"/>
      <c r="G965" s="224"/>
      <c r="H965" s="222"/>
      <c r="I965" s="221">
        <f t="shared" si="9"/>
        <v>0</v>
      </c>
      <c r="J965" s="447"/>
    </row>
    <row r="966" spans="1:10" ht="15">
      <c r="A966" s="217"/>
      <c r="B966" s="218"/>
      <c r="C966" s="446"/>
      <c r="D966" s="218"/>
      <c r="E966" s="221"/>
      <c r="F966" s="224"/>
      <c r="G966" s="224"/>
      <c r="H966" s="222"/>
      <c r="I966" s="221">
        <f t="shared" si="9"/>
        <v>0</v>
      </c>
      <c r="J966" s="447"/>
    </row>
    <row r="967" spans="1:10" ht="15">
      <c r="A967" s="217"/>
      <c r="B967" s="218"/>
      <c r="C967" s="446"/>
      <c r="D967" s="218"/>
      <c r="E967" s="221"/>
      <c r="F967" s="224"/>
      <c r="G967" s="224"/>
      <c r="H967" s="222"/>
      <c r="I967" s="221">
        <f t="shared" si="9"/>
        <v>0</v>
      </c>
      <c r="J967" s="447"/>
    </row>
    <row r="968" spans="1:10" ht="15">
      <c r="A968" s="217"/>
      <c r="B968" s="218"/>
      <c r="C968" s="446"/>
      <c r="D968" s="218"/>
      <c r="E968" s="221"/>
      <c r="F968" s="224"/>
      <c r="G968" s="224"/>
      <c r="H968" s="222"/>
      <c r="I968" s="221">
        <f t="shared" si="9"/>
        <v>0</v>
      </c>
      <c r="J968" s="447"/>
    </row>
    <row r="969" spans="1:10" ht="15">
      <c r="A969" s="217"/>
      <c r="B969" s="218"/>
      <c r="C969" s="446"/>
      <c r="D969" s="218"/>
      <c r="E969" s="221"/>
      <c r="F969" s="224"/>
      <c r="G969" s="224"/>
      <c r="H969" s="222"/>
      <c r="I969" s="221">
        <f t="shared" si="9"/>
        <v>0</v>
      </c>
      <c r="J969" s="447"/>
    </row>
    <row r="970" spans="1:10" ht="15">
      <c r="A970" s="217"/>
      <c r="B970" s="218"/>
      <c r="C970" s="446"/>
      <c r="D970" s="218"/>
      <c r="E970" s="221"/>
      <c r="F970" s="448"/>
      <c r="G970" s="448"/>
      <c r="H970" s="222"/>
      <c r="I970" s="221">
        <f t="shared" si="9"/>
        <v>0</v>
      </c>
      <c r="J970" s="447"/>
    </row>
    <row r="971" spans="1:10" ht="15">
      <c r="A971" s="217"/>
      <c r="B971" s="218"/>
      <c r="C971" s="446"/>
      <c r="D971" s="218"/>
      <c r="E971" s="221"/>
      <c r="F971" s="448"/>
      <c r="G971" s="448"/>
      <c r="H971" s="222"/>
      <c r="I971" s="221">
        <f t="shared" si="9"/>
        <v>0</v>
      </c>
      <c r="J971" s="447"/>
    </row>
    <row r="972" spans="1:10" ht="15">
      <c r="A972" s="217"/>
      <c r="B972" s="218"/>
      <c r="C972" s="446"/>
      <c r="D972" s="218"/>
      <c r="E972" s="221"/>
      <c r="F972" s="448"/>
      <c r="G972" s="448"/>
      <c r="H972" s="222"/>
      <c r="I972" s="221">
        <f t="shared" si="9"/>
        <v>0</v>
      </c>
      <c r="J972" s="447"/>
    </row>
    <row r="973" spans="1:10" ht="15">
      <c r="A973" s="217"/>
      <c r="B973" s="218"/>
      <c r="C973" s="446"/>
      <c r="D973" s="218"/>
      <c r="E973" s="221"/>
      <c r="F973" s="448"/>
      <c r="G973" s="448"/>
      <c r="H973" s="222"/>
      <c r="I973" s="221">
        <f t="shared" si="9"/>
        <v>0</v>
      </c>
      <c r="J973" s="447"/>
    </row>
    <row r="974" spans="1:10" ht="15">
      <c r="A974" s="217"/>
      <c r="B974" s="218"/>
      <c r="C974" s="446"/>
      <c r="D974" s="218"/>
      <c r="E974" s="221"/>
      <c r="F974" s="448"/>
      <c r="G974" s="448"/>
      <c r="H974" s="222"/>
      <c r="I974" s="221">
        <f t="shared" si="9"/>
        <v>0</v>
      </c>
      <c r="J974" s="447"/>
    </row>
    <row r="975" spans="1:10" ht="15">
      <c r="A975" s="217"/>
      <c r="B975" s="218"/>
      <c r="C975" s="446"/>
      <c r="D975" s="218"/>
      <c r="E975" s="221"/>
      <c r="F975" s="448"/>
      <c r="G975" s="448"/>
      <c r="H975" s="222"/>
      <c r="I975" s="221">
        <f t="shared" si="9"/>
        <v>0</v>
      </c>
      <c r="J975" s="447"/>
    </row>
    <row r="976" spans="1:10" ht="15">
      <c r="A976" s="217"/>
      <c r="B976" s="218"/>
      <c r="C976" s="446"/>
      <c r="D976" s="218"/>
      <c r="E976" s="221"/>
      <c r="F976" s="448"/>
      <c r="G976" s="448"/>
      <c r="H976" s="222"/>
      <c r="I976" s="221">
        <f t="shared" si="9"/>
        <v>0</v>
      </c>
      <c r="J976" s="447"/>
    </row>
    <row r="977" spans="1:10" ht="15">
      <c r="A977" s="217"/>
      <c r="B977" s="218"/>
      <c r="C977" s="446"/>
      <c r="D977" s="218"/>
      <c r="E977" s="221"/>
      <c r="F977" s="448"/>
      <c r="G977" s="448"/>
      <c r="H977" s="222"/>
      <c r="I977" s="221">
        <f t="shared" si="9"/>
        <v>0</v>
      </c>
      <c r="J977" s="447"/>
    </row>
    <row r="978" spans="1:10" ht="15">
      <c r="A978" s="217"/>
      <c r="B978" s="218"/>
      <c r="C978" s="446"/>
      <c r="D978" s="218"/>
      <c r="E978" s="221"/>
      <c r="F978" s="448"/>
      <c r="G978" s="448"/>
      <c r="H978" s="222"/>
      <c r="I978" s="221">
        <f t="shared" si="9"/>
        <v>0</v>
      </c>
      <c r="J978" s="447"/>
    </row>
    <row r="979" spans="1:10" ht="15">
      <c r="A979" s="217"/>
      <c r="B979" s="218"/>
      <c r="C979" s="446"/>
      <c r="D979" s="218"/>
      <c r="E979" s="221"/>
      <c r="F979" s="448"/>
      <c r="G979" s="448"/>
      <c r="H979" s="222"/>
      <c r="I979" s="221">
        <f t="shared" si="9"/>
        <v>0</v>
      </c>
      <c r="J979" s="447"/>
    </row>
    <row r="980" spans="1:10" ht="15">
      <c r="A980" s="217"/>
      <c r="B980" s="218"/>
      <c r="C980" s="446"/>
      <c r="D980" s="218"/>
      <c r="E980" s="221"/>
      <c r="F980" s="448"/>
      <c r="G980" s="448"/>
      <c r="H980" s="222"/>
      <c r="I980" s="221">
        <f t="shared" si="9"/>
        <v>0</v>
      </c>
      <c r="J980" s="447"/>
    </row>
    <row r="981" spans="1:10" ht="15">
      <c r="A981" s="217"/>
      <c r="B981" s="218"/>
      <c r="C981" s="446"/>
      <c r="D981" s="218"/>
      <c r="E981" s="221"/>
      <c r="F981" s="448"/>
      <c r="G981" s="448"/>
      <c r="H981" s="222"/>
      <c r="I981" s="221">
        <f t="shared" si="9"/>
        <v>0</v>
      </c>
      <c r="J981" s="447"/>
    </row>
    <row r="982" spans="1:10" ht="15">
      <c r="A982" s="217"/>
      <c r="B982" s="218"/>
      <c r="C982" s="446"/>
      <c r="D982" s="218"/>
      <c r="E982" s="221"/>
      <c r="F982" s="448"/>
      <c r="G982" s="448"/>
      <c r="H982" s="222"/>
      <c r="I982" s="221">
        <f t="shared" si="9"/>
        <v>0</v>
      </c>
      <c r="J982" s="447"/>
    </row>
    <row r="983" spans="1:10" ht="15">
      <c r="A983" s="217"/>
      <c r="B983" s="218"/>
      <c r="C983" s="446"/>
      <c r="D983" s="218"/>
      <c r="E983" s="221"/>
      <c r="F983" s="448"/>
      <c r="G983" s="448"/>
      <c r="H983" s="222"/>
      <c r="I983" s="221">
        <f t="shared" si="9"/>
        <v>0</v>
      </c>
      <c r="J983" s="447"/>
    </row>
    <row r="984" spans="1:10" ht="15">
      <c r="A984" s="217"/>
      <c r="B984" s="218"/>
      <c r="C984" s="446"/>
      <c r="D984" s="218"/>
      <c r="E984" s="221"/>
      <c r="F984" s="448"/>
      <c r="G984" s="448"/>
      <c r="H984" s="222"/>
      <c r="I984" s="221">
        <f t="shared" si="9"/>
        <v>0</v>
      </c>
      <c r="J984" s="447"/>
    </row>
    <row r="985" spans="1:10" ht="15">
      <c r="A985" s="217"/>
      <c r="B985" s="218"/>
      <c r="C985" s="446"/>
      <c r="D985" s="218"/>
      <c r="E985" s="221"/>
      <c r="F985" s="448"/>
      <c r="G985" s="448"/>
      <c r="H985" s="222"/>
      <c r="I985" s="221">
        <f t="shared" si="9"/>
        <v>0</v>
      </c>
      <c r="J985" s="447"/>
    </row>
    <row r="986" spans="1:10" ht="15">
      <c r="A986" s="217"/>
      <c r="B986" s="218"/>
      <c r="C986" s="446"/>
      <c r="D986" s="218"/>
      <c r="E986" s="221"/>
      <c r="F986" s="448"/>
      <c r="G986" s="448"/>
      <c r="H986" s="222"/>
      <c r="I986" s="221">
        <f t="shared" si="9"/>
        <v>0</v>
      </c>
      <c r="J986" s="447"/>
    </row>
    <row r="987" spans="1:10" ht="15">
      <c r="A987" s="217"/>
      <c r="B987" s="218"/>
      <c r="C987" s="446"/>
      <c r="D987" s="218"/>
      <c r="E987" s="221"/>
      <c r="F987" s="448"/>
      <c r="G987" s="448"/>
      <c r="H987" s="222"/>
      <c r="I987" s="221">
        <f t="shared" si="9"/>
        <v>0</v>
      </c>
      <c r="J987" s="447"/>
    </row>
    <row r="988" spans="1:10" ht="15">
      <c r="A988" s="217"/>
      <c r="B988" s="218"/>
      <c r="C988" s="446"/>
      <c r="D988" s="218"/>
      <c r="E988" s="221"/>
      <c r="F988" s="448"/>
      <c r="G988" s="448"/>
      <c r="H988" s="222"/>
      <c r="I988" s="221">
        <f t="shared" si="9"/>
        <v>0</v>
      </c>
      <c r="J988" s="447"/>
    </row>
    <row r="989" spans="1:10" ht="15">
      <c r="A989" s="217"/>
      <c r="B989" s="218"/>
      <c r="C989" s="446"/>
      <c r="D989" s="218"/>
      <c r="E989" s="221"/>
      <c r="F989" s="448"/>
      <c r="G989" s="448"/>
      <c r="H989" s="222"/>
      <c r="I989" s="221">
        <f t="shared" si="9"/>
        <v>0</v>
      </c>
      <c r="J989" s="447"/>
    </row>
    <row r="990" spans="1:10" ht="15">
      <c r="A990" s="217"/>
      <c r="B990" s="218"/>
      <c r="C990" s="446"/>
      <c r="D990" s="218"/>
      <c r="E990" s="221"/>
      <c r="F990" s="448"/>
      <c r="G990" s="448"/>
      <c r="H990" s="222"/>
      <c r="I990" s="221">
        <f t="shared" si="9"/>
        <v>0</v>
      </c>
      <c r="J990" s="447"/>
    </row>
    <row r="991" spans="1:10" ht="15">
      <c r="A991" s="217"/>
      <c r="B991" s="218"/>
      <c r="C991" s="446"/>
      <c r="D991" s="218"/>
      <c r="E991" s="221"/>
      <c r="F991" s="448"/>
      <c r="G991" s="448"/>
      <c r="H991" s="222"/>
      <c r="I991" s="221">
        <f t="shared" si="9"/>
        <v>0</v>
      </c>
      <c r="J991" s="447"/>
    </row>
    <row r="992" spans="1:10" ht="15">
      <c r="A992" s="217"/>
      <c r="B992" s="218"/>
      <c r="C992" s="446"/>
      <c r="D992" s="218"/>
      <c r="E992" s="221"/>
      <c r="F992" s="448"/>
      <c r="G992" s="448"/>
      <c r="H992" s="222"/>
      <c r="I992" s="221">
        <f t="shared" si="9"/>
        <v>0</v>
      </c>
      <c r="J992" s="447"/>
    </row>
    <row r="993" spans="1:10" ht="15">
      <c r="A993" s="217"/>
      <c r="B993" s="218"/>
      <c r="C993" s="446"/>
      <c r="D993" s="218"/>
      <c r="E993" s="221"/>
      <c r="F993" s="448"/>
      <c r="G993" s="448"/>
      <c r="H993" s="222"/>
      <c r="I993" s="221">
        <f t="shared" si="9"/>
        <v>0</v>
      </c>
      <c r="J993" s="447"/>
    </row>
    <row r="994" spans="1:10" ht="15">
      <c r="A994" s="217"/>
      <c r="B994" s="218"/>
      <c r="C994" s="446"/>
      <c r="D994" s="218"/>
      <c r="E994" s="221"/>
      <c r="F994" s="448"/>
      <c r="G994" s="448"/>
      <c r="H994" s="222"/>
      <c r="I994" s="221">
        <f t="shared" si="9"/>
        <v>0</v>
      </c>
      <c r="J994" s="447"/>
    </row>
    <row r="995" spans="1:10" ht="15">
      <c r="A995" s="217"/>
      <c r="B995" s="218"/>
      <c r="C995" s="446"/>
      <c r="D995" s="218"/>
      <c r="E995" s="221"/>
      <c r="F995" s="448"/>
      <c r="G995" s="448"/>
      <c r="H995" s="222"/>
      <c r="I995" s="221">
        <f t="shared" si="9"/>
        <v>0</v>
      </c>
      <c r="J995" s="447"/>
    </row>
    <row r="996" spans="1:10" ht="15">
      <c r="A996" s="217"/>
      <c r="B996" s="218"/>
      <c r="C996" s="446"/>
      <c r="D996" s="218"/>
      <c r="E996" s="221"/>
      <c r="F996" s="448"/>
      <c r="G996" s="448"/>
      <c r="H996" s="222"/>
      <c r="I996" s="221">
        <f t="shared" si="9"/>
        <v>0</v>
      </c>
      <c r="J996" s="447"/>
    </row>
    <row r="997" spans="1:10" ht="15">
      <c r="A997" s="217"/>
      <c r="B997" s="218"/>
      <c r="C997" s="446"/>
      <c r="D997" s="218"/>
      <c r="E997" s="221"/>
      <c r="F997" s="448"/>
      <c r="G997" s="448"/>
      <c r="H997" s="222"/>
      <c r="I997" s="221">
        <f t="shared" si="9"/>
        <v>0</v>
      </c>
      <c r="J997" s="447"/>
    </row>
    <row r="998" spans="1:10" ht="15">
      <c r="A998" s="217"/>
      <c r="B998" s="218"/>
      <c r="C998" s="446"/>
      <c r="D998" s="218"/>
      <c r="E998" s="221"/>
      <c r="F998" s="448"/>
      <c r="G998" s="448"/>
      <c r="H998" s="222"/>
      <c r="I998" s="221">
        <f t="shared" si="9"/>
        <v>0</v>
      </c>
      <c r="J998" s="447"/>
    </row>
    <row r="999" spans="1:10" ht="15">
      <c r="A999" s="217"/>
      <c r="B999" s="218"/>
      <c r="C999" s="446"/>
      <c r="D999" s="218"/>
      <c r="E999" s="221"/>
      <c r="F999" s="448"/>
      <c r="G999" s="448"/>
      <c r="H999" s="222"/>
      <c r="I999" s="221">
        <f t="shared" si="9"/>
        <v>0</v>
      </c>
      <c r="J999" s="447"/>
    </row>
    <row r="1000" spans="1:10" ht="15">
      <c r="A1000" s="217"/>
      <c r="B1000" s="218"/>
      <c r="C1000" s="446"/>
      <c r="D1000" s="218"/>
      <c r="E1000" s="221"/>
      <c r="F1000" s="448"/>
      <c r="G1000" s="448"/>
      <c r="H1000" s="222"/>
      <c r="I1000" s="221">
        <f t="shared" si="9"/>
        <v>0</v>
      </c>
      <c r="J1000" s="447"/>
    </row>
    <row r="1001" spans="1:10" ht="15">
      <c r="A1001" s="217"/>
      <c r="B1001" s="218"/>
      <c r="C1001" s="446"/>
      <c r="D1001" s="218"/>
      <c r="E1001" s="221"/>
      <c r="F1001" s="448"/>
      <c r="G1001" s="448"/>
      <c r="H1001" s="222"/>
      <c r="I1001" s="221">
        <f t="shared" si="9"/>
        <v>0</v>
      </c>
      <c r="J1001" s="447"/>
    </row>
    <row r="1002" spans="1:10" ht="15">
      <c r="A1002" s="217"/>
      <c r="B1002" s="218"/>
      <c r="C1002" s="446"/>
      <c r="D1002" s="218"/>
      <c r="E1002" s="221"/>
      <c r="F1002" s="448"/>
      <c r="G1002" s="448"/>
      <c r="H1002" s="222"/>
      <c r="I1002" s="221">
        <f t="shared" si="9"/>
        <v>0</v>
      </c>
      <c r="J1002" s="447"/>
    </row>
    <row r="1003" spans="1:10" ht="15">
      <c r="A1003" s="217"/>
      <c r="B1003" s="218"/>
      <c r="C1003" s="446"/>
      <c r="D1003" s="218"/>
      <c r="E1003" s="221"/>
      <c r="F1003" s="448"/>
      <c r="G1003" s="448"/>
      <c r="H1003" s="222"/>
      <c r="I1003" s="221">
        <f t="shared" si="9"/>
        <v>0</v>
      </c>
      <c r="J1003" s="447"/>
    </row>
    <row r="1004" spans="1:10" ht="15">
      <c r="A1004" s="217"/>
      <c r="B1004" s="218"/>
      <c r="C1004" s="446"/>
      <c r="D1004" s="218"/>
      <c r="E1004" s="221"/>
      <c r="F1004" s="448"/>
      <c r="G1004" s="448"/>
      <c r="H1004" s="222"/>
      <c r="I1004" s="221">
        <f t="shared" si="9"/>
        <v>0</v>
      </c>
      <c r="J1004" s="447"/>
    </row>
    <row r="1005" spans="1:10" ht="15">
      <c r="A1005" s="217"/>
      <c r="B1005" s="218"/>
      <c r="C1005" s="446"/>
      <c r="D1005" s="218"/>
      <c r="E1005" s="221"/>
      <c r="F1005" s="448"/>
      <c r="G1005" s="448"/>
      <c r="H1005" s="222"/>
      <c r="I1005" s="221">
        <f t="shared" si="9"/>
        <v>0</v>
      </c>
      <c r="J1005" s="447"/>
    </row>
    <row r="1006" spans="1:10" ht="15">
      <c r="A1006" s="217"/>
      <c r="B1006" s="218"/>
      <c r="C1006" s="446"/>
      <c r="D1006" s="218"/>
      <c r="E1006" s="221"/>
      <c r="F1006" s="448"/>
      <c r="G1006" s="448"/>
      <c r="H1006" s="222"/>
      <c r="I1006" s="221">
        <f t="shared" si="9"/>
        <v>0</v>
      </c>
      <c r="J1006" s="447"/>
    </row>
    <row r="1007" spans="1:10" ht="15">
      <c r="A1007" s="217"/>
      <c r="B1007" s="218"/>
      <c r="C1007" s="446"/>
      <c r="D1007" s="218"/>
      <c r="E1007" s="221"/>
      <c r="F1007" s="448"/>
      <c r="G1007" s="448"/>
      <c r="H1007" s="222"/>
      <c r="I1007" s="221">
        <f t="shared" si="9"/>
        <v>0</v>
      </c>
      <c r="J1007" s="447"/>
    </row>
    <row r="1008" spans="1:10" ht="15">
      <c r="A1008" s="217"/>
      <c r="B1008" s="218"/>
      <c r="C1008" s="446"/>
      <c r="D1008" s="218"/>
      <c r="E1008" s="221"/>
      <c r="F1008" s="448"/>
      <c r="G1008" s="448"/>
      <c r="H1008" s="222"/>
      <c r="I1008" s="221">
        <f t="shared" si="9"/>
        <v>0</v>
      </c>
      <c r="J1008" s="447"/>
    </row>
    <row r="1009" spans="1:11" ht="15">
      <c r="A1009" s="217"/>
      <c r="B1009" s="218"/>
      <c r="C1009" s="446"/>
      <c r="D1009" s="218"/>
      <c r="E1009" s="221"/>
      <c r="F1009" s="448"/>
      <c r="G1009" s="448"/>
      <c r="H1009" s="222"/>
      <c r="I1009" s="221">
        <f t="shared" si="9"/>
        <v>0</v>
      </c>
      <c r="J1009" s="447"/>
    </row>
    <row r="1010" spans="1:11" ht="15">
      <c r="A1010" s="217"/>
      <c r="B1010" s="218"/>
      <c r="C1010" s="446"/>
      <c r="D1010" s="218"/>
      <c r="E1010" s="221"/>
      <c r="F1010" s="448"/>
      <c r="G1010" s="448"/>
      <c r="H1010" s="222"/>
      <c r="I1010" s="221">
        <f t="shared" si="9"/>
        <v>0</v>
      </c>
      <c r="J1010" s="447"/>
    </row>
    <row r="1011" spans="1:11" ht="15">
      <c r="A1011" s="217"/>
      <c r="B1011" s="218"/>
      <c r="C1011" s="446"/>
      <c r="D1011" s="218"/>
      <c r="E1011" s="221"/>
      <c r="F1011" s="448"/>
      <c r="G1011" s="448"/>
      <c r="H1011" s="222"/>
      <c r="I1011" s="221">
        <f t="shared" si="9"/>
        <v>0</v>
      </c>
      <c r="J1011" s="447"/>
    </row>
    <row r="1012" spans="1:11" ht="15">
      <c r="A1012" s="217"/>
      <c r="B1012" s="218"/>
      <c r="C1012" s="446"/>
      <c r="D1012" s="218"/>
      <c r="E1012" s="221"/>
      <c r="F1012" s="448"/>
      <c r="G1012" s="448"/>
      <c r="H1012" s="222"/>
      <c r="I1012" s="221">
        <f t="shared" si="9"/>
        <v>0</v>
      </c>
      <c r="J1012" s="447"/>
    </row>
    <row r="1013" spans="1:11" ht="15">
      <c r="A1013" s="217"/>
      <c r="B1013" s="218"/>
      <c r="C1013" s="446"/>
      <c r="D1013" s="218"/>
      <c r="E1013" s="221"/>
      <c r="F1013" s="448"/>
      <c r="G1013" s="448"/>
      <c r="H1013" s="222"/>
      <c r="I1013" s="221">
        <f t="shared" si="9"/>
        <v>0</v>
      </c>
      <c r="J1013" s="447"/>
    </row>
    <row r="1014" spans="1:11" ht="15">
      <c r="A1014" s="217"/>
      <c r="B1014" s="218"/>
      <c r="C1014" s="446"/>
      <c r="D1014" s="218"/>
      <c r="E1014" s="221"/>
      <c r="F1014" s="448"/>
      <c r="G1014" s="448"/>
      <c r="H1014" s="222"/>
      <c r="I1014" s="221">
        <f t="shared" si="9"/>
        <v>0</v>
      </c>
      <c r="J1014" s="447"/>
    </row>
    <row r="1015" spans="1:11" ht="15">
      <c r="A1015" s="217"/>
      <c r="B1015" s="218"/>
      <c r="C1015" s="446"/>
      <c r="D1015" s="218"/>
      <c r="E1015" s="221"/>
      <c r="F1015" s="448"/>
      <c r="G1015" s="448"/>
      <c r="H1015" s="222"/>
      <c r="I1015" s="221">
        <f t="shared" si="9"/>
        <v>0</v>
      </c>
      <c r="J1015" s="447"/>
    </row>
    <row r="1016" spans="1:11" ht="15">
      <c r="A1016" s="217"/>
      <c r="B1016" s="218"/>
      <c r="C1016" s="446"/>
      <c r="D1016" s="218"/>
      <c r="E1016" s="221"/>
      <c r="F1016" s="448"/>
      <c r="G1016" s="448"/>
      <c r="H1016" s="222"/>
      <c r="I1016" s="221">
        <f t="shared" si="9"/>
        <v>0</v>
      </c>
      <c r="J1016" s="447"/>
    </row>
    <row r="1017" spans="1:11" ht="15">
      <c r="A1017" s="217"/>
      <c r="B1017" s="218"/>
      <c r="C1017" s="446"/>
      <c r="D1017" s="218"/>
      <c r="E1017" s="221"/>
      <c r="F1017" s="448"/>
      <c r="G1017" s="448"/>
      <c r="H1017" s="222"/>
      <c r="I1017" s="221">
        <f t="shared" si="9"/>
        <v>0</v>
      </c>
      <c r="J1017" s="447"/>
    </row>
    <row r="1018" spans="1:11" ht="15">
      <c r="A1018" s="217"/>
      <c r="B1018" s="218"/>
      <c r="C1018" s="446"/>
      <c r="D1018" s="218"/>
      <c r="E1018" s="221"/>
      <c r="F1018" s="448"/>
      <c r="G1018" s="448"/>
      <c r="H1018" s="222"/>
      <c r="I1018" s="221">
        <f t="shared" si="9"/>
        <v>0</v>
      </c>
      <c r="J1018" s="447"/>
    </row>
    <row r="1019" spans="1:11" ht="15">
      <c r="A1019" s="217"/>
      <c r="B1019" s="218"/>
      <c r="C1019" s="446"/>
      <c r="D1019" s="218"/>
      <c r="E1019" s="221"/>
      <c r="F1019" s="448"/>
      <c r="G1019" s="448"/>
      <c r="H1019" s="222"/>
      <c r="I1019" s="221">
        <f t="shared" si="9"/>
        <v>0</v>
      </c>
      <c r="J1019" s="447"/>
    </row>
    <row r="1020" spans="1:11">
      <c r="A1020" s="217"/>
      <c r="B1020" s="218"/>
      <c r="C1020" s="446"/>
      <c r="D1020" s="218"/>
      <c r="E1020" s="221"/>
      <c r="F1020" s="448"/>
      <c r="G1020" s="448"/>
      <c r="H1020" s="222"/>
      <c r="I1020" s="221">
        <f t="shared" si="9"/>
        <v>0</v>
      </c>
      <c r="J1020" s="218" t="s">
        <v>56</v>
      </c>
      <c r="K1020" s="449">
        <f>SUM(E924:E1023)</f>
        <v>0</v>
      </c>
    </row>
    <row r="1021" spans="1:11">
      <c r="A1021" s="217"/>
      <c r="B1021" s="218"/>
      <c r="C1021" s="446"/>
      <c r="D1021" s="218"/>
      <c r="E1021" s="221"/>
      <c r="F1021" s="448"/>
      <c r="G1021" s="448"/>
      <c r="H1021" s="222"/>
      <c r="I1021" s="221">
        <f t="shared" si="9"/>
        <v>0</v>
      </c>
      <c r="J1021" s="218" t="s">
        <v>160</v>
      </c>
      <c r="K1021" s="449">
        <f>SUM(F924:F1023)</f>
        <v>0</v>
      </c>
    </row>
    <row r="1022" spans="1:11">
      <c r="A1022" s="217"/>
      <c r="B1022" s="218"/>
      <c r="C1022" s="446"/>
      <c r="D1022" s="218"/>
      <c r="E1022" s="221"/>
      <c r="F1022" s="448"/>
      <c r="G1022" s="448"/>
      <c r="H1022" s="222"/>
      <c r="I1022" s="221">
        <f t="shared" si="9"/>
        <v>0</v>
      </c>
      <c r="J1022" s="218" t="s">
        <v>72</v>
      </c>
      <c r="K1022" s="449">
        <f>SUM(G924:G1023)</f>
        <v>0</v>
      </c>
    </row>
    <row r="1023" spans="1:11">
      <c r="A1023" s="217"/>
      <c r="B1023" s="218"/>
      <c r="C1023" s="446"/>
      <c r="D1023" s="218"/>
      <c r="E1023" s="221"/>
      <c r="F1023" s="448"/>
      <c r="G1023" s="448"/>
      <c r="H1023" s="222"/>
      <c r="I1023" s="221">
        <f t="shared" si="9"/>
        <v>0</v>
      </c>
      <c r="J1023" s="218" t="s">
        <v>162</v>
      </c>
      <c r="K1023" s="449">
        <f>SUM(H924:H1023)</f>
        <v>0</v>
      </c>
    </row>
    <row r="1024" spans="1:11">
      <c r="A1024" s="218"/>
      <c r="B1024" s="218"/>
      <c r="C1024" s="218"/>
      <c r="D1024" s="218"/>
      <c r="E1024" s="218"/>
      <c r="F1024" s="218"/>
      <c r="G1024" s="218"/>
      <c r="H1024" s="222"/>
      <c r="J1024" s="452" t="s">
        <v>163</v>
      </c>
      <c r="K1024" s="450">
        <f>SUM(K1020:K1023)</f>
        <v>0</v>
      </c>
    </row>
    <row r="1025" spans="1:10" thickBot="1">
      <c r="A1025" s="485" t="s">
        <v>29</v>
      </c>
      <c r="B1025" s="486"/>
      <c r="C1025" s="486"/>
      <c r="D1025" s="486"/>
      <c r="E1025" s="486"/>
      <c r="F1025" s="486"/>
      <c r="G1025" s="486"/>
      <c r="H1025" s="486"/>
      <c r="I1025" s="486"/>
      <c r="J1025" s="486"/>
    </row>
    <row r="1026" spans="1:10" ht="15">
      <c r="A1026" s="217"/>
      <c r="B1026" s="218"/>
      <c r="C1026" s="446"/>
      <c r="D1026" s="218"/>
      <c r="E1026" s="221"/>
      <c r="F1026" s="222"/>
      <c r="G1026" s="221"/>
      <c r="H1026" s="221"/>
      <c r="I1026" s="221">
        <f t="shared" ref="I1026:I1125" si="10">SUM(E1026:H1026)</f>
        <v>0</v>
      </c>
      <c r="J1026" s="447"/>
    </row>
    <row r="1027" spans="1:10" ht="15">
      <c r="A1027" s="217"/>
      <c r="B1027" s="218"/>
      <c r="C1027" s="446"/>
      <c r="D1027" s="218"/>
      <c r="E1027" s="222"/>
      <c r="F1027" s="222"/>
      <c r="G1027" s="221"/>
      <c r="H1027" s="222"/>
      <c r="I1027" s="221">
        <f t="shared" si="10"/>
        <v>0</v>
      </c>
      <c r="J1027" s="447"/>
    </row>
    <row r="1028" spans="1:10" ht="15">
      <c r="A1028" s="217"/>
      <c r="B1028" s="218"/>
      <c r="C1028" s="446"/>
      <c r="D1028" s="218"/>
      <c r="E1028" s="221"/>
      <c r="F1028" s="222"/>
      <c r="G1028" s="221"/>
      <c r="H1028" s="221"/>
      <c r="I1028" s="221">
        <f t="shared" si="10"/>
        <v>0</v>
      </c>
      <c r="J1028" s="447"/>
    </row>
    <row r="1029" spans="1:10" ht="15">
      <c r="A1029" s="217"/>
      <c r="B1029" s="218"/>
      <c r="C1029" s="446"/>
      <c r="D1029" s="218"/>
      <c r="E1029" s="221"/>
      <c r="F1029" s="222"/>
      <c r="G1029" s="221"/>
      <c r="H1029" s="221"/>
      <c r="I1029" s="221">
        <f t="shared" si="10"/>
        <v>0</v>
      </c>
      <c r="J1029" s="447"/>
    </row>
    <row r="1030" spans="1:10" ht="15">
      <c r="A1030" s="217"/>
      <c r="B1030" s="218"/>
      <c r="C1030" s="446"/>
      <c r="D1030" s="218"/>
      <c r="E1030" s="222"/>
      <c r="F1030" s="222"/>
      <c r="G1030" s="221"/>
      <c r="H1030" s="222"/>
      <c r="I1030" s="221">
        <f t="shared" si="10"/>
        <v>0</v>
      </c>
      <c r="J1030" s="447"/>
    </row>
    <row r="1031" spans="1:10" ht="15">
      <c r="A1031" s="217"/>
      <c r="B1031" s="218"/>
      <c r="C1031" s="446"/>
      <c r="D1031" s="218"/>
      <c r="E1031" s="221"/>
      <c r="F1031" s="222"/>
      <c r="G1031" s="221"/>
      <c r="H1031" s="221"/>
      <c r="I1031" s="221">
        <f t="shared" si="10"/>
        <v>0</v>
      </c>
      <c r="J1031" s="447"/>
    </row>
    <row r="1032" spans="1:10" ht="15">
      <c r="A1032" s="217"/>
      <c r="B1032" s="218"/>
      <c r="C1032" s="446"/>
      <c r="D1032" s="218"/>
      <c r="E1032" s="221"/>
      <c r="F1032" s="222"/>
      <c r="G1032" s="221"/>
      <c r="H1032" s="221"/>
      <c r="I1032" s="221">
        <f t="shared" si="10"/>
        <v>0</v>
      </c>
      <c r="J1032" s="447"/>
    </row>
    <row r="1033" spans="1:10" ht="15">
      <c r="A1033" s="217"/>
      <c r="B1033" s="218"/>
      <c r="C1033" s="446"/>
      <c r="D1033" s="218"/>
      <c r="E1033" s="221"/>
      <c r="F1033" s="222"/>
      <c r="G1033" s="221"/>
      <c r="H1033" s="221"/>
      <c r="I1033" s="221">
        <f t="shared" si="10"/>
        <v>0</v>
      </c>
      <c r="J1033" s="447"/>
    </row>
    <row r="1034" spans="1:10" ht="15">
      <c r="A1034" s="217"/>
      <c r="B1034" s="218"/>
      <c r="C1034" s="446"/>
      <c r="D1034" s="218"/>
      <c r="E1034" s="222"/>
      <c r="F1034" s="222"/>
      <c r="G1034" s="221"/>
      <c r="H1034" s="222"/>
      <c r="I1034" s="221">
        <f t="shared" si="10"/>
        <v>0</v>
      </c>
      <c r="J1034" s="447"/>
    </row>
    <row r="1035" spans="1:10" ht="15">
      <c r="A1035" s="217"/>
      <c r="B1035" s="218"/>
      <c r="C1035" s="446"/>
      <c r="D1035" s="218"/>
      <c r="E1035" s="222"/>
      <c r="F1035" s="222"/>
      <c r="G1035" s="221"/>
      <c r="H1035" s="222"/>
      <c r="I1035" s="221">
        <f t="shared" si="10"/>
        <v>0</v>
      </c>
      <c r="J1035" s="447"/>
    </row>
    <row r="1036" spans="1:10" ht="15">
      <c r="A1036" s="217"/>
      <c r="B1036" s="218"/>
      <c r="C1036" s="446"/>
      <c r="D1036" s="218"/>
      <c r="E1036" s="221"/>
      <c r="F1036" s="222"/>
      <c r="G1036" s="221"/>
      <c r="H1036" s="221"/>
      <c r="I1036" s="221">
        <f t="shared" si="10"/>
        <v>0</v>
      </c>
      <c r="J1036" s="447"/>
    </row>
    <row r="1037" spans="1:10" ht="15">
      <c r="A1037" s="217"/>
      <c r="B1037" s="218"/>
      <c r="C1037" s="446"/>
      <c r="D1037" s="218"/>
      <c r="E1037" s="221"/>
      <c r="F1037" s="222"/>
      <c r="G1037" s="221"/>
      <c r="H1037" s="221"/>
      <c r="I1037" s="221">
        <f t="shared" si="10"/>
        <v>0</v>
      </c>
      <c r="J1037" s="447"/>
    </row>
    <row r="1038" spans="1:10" ht="15">
      <c r="A1038" s="217"/>
      <c r="B1038" s="218"/>
      <c r="C1038" s="446"/>
      <c r="D1038" s="218"/>
      <c r="E1038" s="221"/>
      <c r="F1038" s="222"/>
      <c r="G1038" s="221"/>
      <c r="H1038" s="221"/>
      <c r="I1038" s="221">
        <f t="shared" si="10"/>
        <v>0</v>
      </c>
      <c r="J1038" s="447"/>
    </row>
    <row r="1039" spans="1:10" ht="15">
      <c r="A1039" s="217"/>
      <c r="B1039" s="218"/>
      <c r="C1039" s="446"/>
      <c r="D1039" s="218"/>
      <c r="E1039" s="222"/>
      <c r="F1039" s="222"/>
      <c r="G1039" s="221"/>
      <c r="H1039" s="222"/>
      <c r="I1039" s="221">
        <f t="shared" si="10"/>
        <v>0</v>
      </c>
      <c r="J1039" s="447"/>
    </row>
    <row r="1040" spans="1:10" ht="15">
      <c r="A1040" s="217"/>
      <c r="B1040" s="218"/>
      <c r="C1040" s="446"/>
      <c r="D1040" s="218"/>
      <c r="E1040" s="222"/>
      <c r="F1040" s="222"/>
      <c r="G1040" s="221"/>
      <c r="H1040" s="222"/>
      <c r="I1040" s="221">
        <f t="shared" si="10"/>
        <v>0</v>
      </c>
      <c r="J1040" s="447"/>
    </row>
    <row r="1041" spans="1:10" ht="15">
      <c r="A1041" s="217"/>
      <c r="B1041" s="218"/>
      <c r="C1041" s="446"/>
      <c r="D1041" s="218"/>
      <c r="E1041" s="222"/>
      <c r="F1041" s="222"/>
      <c r="G1041" s="221"/>
      <c r="H1041" s="222"/>
      <c r="I1041" s="221">
        <f t="shared" si="10"/>
        <v>0</v>
      </c>
      <c r="J1041" s="447"/>
    </row>
    <row r="1042" spans="1:10" ht="15">
      <c r="A1042" s="217"/>
      <c r="B1042" s="218"/>
      <c r="C1042" s="446"/>
      <c r="D1042" s="218"/>
      <c r="E1042" s="222"/>
      <c r="F1042" s="222"/>
      <c r="G1042" s="221"/>
      <c r="H1042" s="222"/>
      <c r="I1042" s="221">
        <f t="shared" si="10"/>
        <v>0</v>
      </c>
      <c r="J1042" s="447"/>
    </row>
    <row r="1043" spans="1:10" ht="15">
      <c r="A1043" s="217"/>
      <c r="B1043" s="218"/>
      <c r="C1043" s="446"/>
      <c r="D1043" s="218"/>
      <c r="E1043" s="222"/>
      <c r="F1043" s="222"/>
      <c r="G1043" s="221"/>
      <c r="H1043" s="222"/>
      <c r="I1043" s="221">
        <f t="shared" si="10"/>
        <v>0</v>
      </c>
      <c r="J1043" s="447"/>
    </row>
    <row r="1044" spans="1:10" ht="15">
      <c r="A1044" s="217"/>
      <c r="B1044" s="218"/>
      <c r="C1044" s="446"/>
      <c r="D1044" s="218"/>
      <c r="E1044" s="222"/>
      <c r="F1044" s="222"/>
      <c r="G1044" s="221"/>
      <c r="H1044" s="222"/>
      <c r="I1044" s="221">
        <f t="shared" si="10"/>
        <v>0</v>
      </c>
      <c r="J1044" s="447"/>
    </row>
    <row r="1045" spans="1:10" ht="15">
      <c r="A1045" s="217"/>
      <c r="B1045" s="218"/>
      <c r="C1045" s="446"/>
      <c r="D1045" s="218"/>
      <c r="E1045" s="222"/>
      <c r="F1045" s="222"/>
      <c r="G1045" s="221"/>
      <c r="H1045" s="222"/>
      <c r="I1045" s="221">
        <f t="shared" si="10"/>
        <v>0</v>
      </c>
      <c r="J1045" s="447"/>
    </row>
    <row r="1046" spans="1:10" ht="15">
      <c r="A1046" s="217"/>
      <c r="B1046" s="218"/>
      <c r="C1046" s="446"/>
      <c r="D1046" s="218"/>
      <c r="E1046" s="221"/>
      <c r="F1046" s="224"/>
      <c r="G1046" s="224"/>
      <c r="H1046" s="222"/>
      <c r="I1046" s="221">
        <f t="shared" si="10"/>
        <v>0</v>
      </c>
      <c r="J1046" s="447"/>
    </row>
    <row r="1047" spans="1:10" ht="15">
      <c r="A1047" s="217"/>
      <c r="B1047" s="218"/>
      <c r="C1047" s="446"/>
      <c r="D1047" s="226"/>
      <c r="E1047" s="221"/>
      <c r="F1047" s="224"/>
      <c r="G1047" s="224"/>
      <c r="H1047" s="222"/>
      <c r="I1047" s="221">
        <f t="shared" si="10"/>
        <v>0</v>
      </c>
      <c r="J1047" s="447"/>
    </row>
    <row r="1048" spans="1:10" ht="15">
      <c r="A1048" s="217"/>
      <c r="B1048" s="218"/>
      <c r="C1048" s="446"/>
      <c r="D1048" s="218"/>
      <c r="E1048" s="221"/>
      <c r="F1048" s="224"/>
      <c r="G1048" s="224"/>
      <c r="H1048" s="222"/>
      <c r="I1048" s="221">
        <f t="shared" si="10"/>
        <v>0</v>
      </c>
      <c r="J1048" s="447"/>
    </row>
    <row r="1049" spans="1:10" ht="15">
      <c r="A1049" s="217"/>
      <c r="B1049" s="218"/>
      <c r="C1049" s="446"/>
      <c r="D1049" s="218"/>
      <c r="E1049" s="221"/>
      <c r="F1049" s="224"/>
      <c r="G1049" s="224"/>
      <c r="H1049" s="222"/>
      <c r="I1049" s="221">
        <f t="shared" si="10"/>
        <v>0</v>
      </c>
      <c r="J1049" s="447"/>
    </row>
    <row r="1050" spans="1:10" ht="15">
      <c r="A1050" s="217"/>
      <c r="B1050" s="218"/>
      <c r="C1050" s="446"/>
      <c r="D1050" s="218"/>
      <c r="E1050" s="221"/>
      <c r="F1050" s="224"/>
      <c r="G1050" s="224"/>
      <c r="H1050" s="222"/>
      <c r="I1050" s="221">
        <f t="shared" si="10"/>
        <v>0</v>
      </c>
      <c r="J1050" s="447"/>
    </row>
    <row r="1051" spans="1:10" ht="15">
      <c r="A1051" s="217"/>
      <c r="B1051" s="218"/>
      <c r="C1051" s="446"/>
      <c r="D1051" s="218"/>
      <c r="E1051" s="221"/>
      <c r="F1051" s="224"/>
      <c r="G1051" s="224"/>
      <c r="H1051" s="222"/>
      <c r="I1051" s="221">
        <f t="shared" si="10"/>
        <v>0</v>
      </c>
      <c r="J1051" s="447"/>
    </row>
    <row r="1052" spans="1:10" ht="15">
      <c r="A1052" s="217"/>
      <c r="B1052" s="218"/>
      <c r="C1052" s="446"/>
      <c r="D1052" s="218"/>
      <c r="E1052" s="221"/>
      <c r="F1052" s="224"/>
      <c r="G1052" s="224"/>
      <c r="H1052" s="222"/>
      <c r="I1052" s="221">
        <f t="shared" si="10"/>
        <v>0</v>
      </c>
      <c r="J1052" s="447"/>
    </row>
    <row r="1053" spans="1:10" ht="15">
      <c r="A1053" s="217"/>
      <c r="B1053" s="218"/>
      <c r="C1053" s="446"/>
      <c r="D1053" s="218"/>
      <c r="E1053" s="221"/>
      <c r="F1053" s="224"/>
      <c r="G1053" s="224"/>
      <c r="H1053" s="222"/>
      <c r="I1053" s="221">
        <f t="shared" si="10"/>
        <v>0</v>
      </c>
      <c r="J1053" s="447"/>
    </row>
    <row r="1054" spans="1:10" ht="15">
      <c r="A1054" s="217"/>
      <c r="B1054" s="218"/>
      <c r="C1054" s="446"/>
      <c r="D1054" s="218"/>
      <c r="E1054" s="221"/>
      <c r="F1054" s="224"/>
      <c r="G1054" s="224"/>
      <c r="H1054" s="222"/>
      <c r="I1054" s="221">
        <f t="shared" si="10"/>
        <v>0</v>
      </c>
      <c r="J1054" s="447"/>
    </row>
    <row r="1055" spans="1:10" ht="15">
      <c r="A1055" s="217"/>
      <c r="B1055" s="218"/>
      <c r="C1055" s="446"/>
      <c r="D1055" s="218"/>
      <c r="E1055" s="221"/>
      <c r="F1055" s="224"/>
      <c r="G1055" s="224"/>
      <c r="H1055" s="222"/>
      <c r="I1055" s="221">
        <f t="shared" si="10"/>
        <v>0</v>
      </c>
      <c r="J1055" s="447"/>
    </row>
    <row r="1056" spans="1:10" ht="15">
      <c r="A1056" s="217"/>
      <c r="B1056" s="218"/>
      <c r="C1056" s="446"/>
      <c r="D1056" s="218"/>
      <c r="E1056" s="221"/>
      <c r="F1056" s="224"/>
      <c r="G1056" s="224"/>
      <c r="H1056" s="222"/>
      <c r="I1056" s="221">
        <f t="shared" si="10"/>
        <v>0</v>
      </c>
      <c r="J1056" s="447"/>
    </row>
    <row r="1057" spans="1:10" ht="15">
      <c r="A1057" s="217"/>
      <c r="B1057" s="218"/>
      <c r="C1057" s="446"/>
      <c r="D1057" s="218"/>
      <c r="E1057" s="221"/>
      <c r="F1057" s="224"/>
      <c r="G1057" s="224"/>
      <c r="H1057" s="222"/>
      <c r="I1057" s="221">
        <f t="shared" si="10"/>
        <v>0</v>
      </c>
      <c r="J1057" s="447"/>
    </row>
    <row r="1058" spans="1:10" ht="15.75" customHeight="1">
      <c r="A1058" s="217"/>
      <c r="B1058" s="218"/>
      <c r="C1058" s="446"/>
      <c r="D1058" s="218"/>
      <c r="E1058" s="221"/>
      <c r="F1058" s="224"/>
      <c r="G1058" s="224"/>
      <c r="H1058" s="222"/>
      <c r="I1058" s="221">
        <f t="shared" si="10"/>
        <v>0</v>
      </c>
      <c r="J1058" s="447"/>
    </row>
    <row r="1059" spans="1:10" ht="15.75" customHeight="1">
      <c r="A1059" s="217"/>
      <c r="B1059" s="218"/>
      <c r="C1059" s="446"/>
      <c r="D1059" s="218"/>
      <c r="E1059" s="221"/>
      <c r="F1059" s="224"/>
      <c r="G1059" s="224"/>
      <c r="H1059" s="222"/>
      <c r="I1059" s="221">
        <f t="shared" si="10"/>
        <v>0</v>
      </c>
      <c r="J1059" s="447"/>
    </row>
    <row r="1060" spans="1:10" ht="15.75" customHeight="1">
      <c r="A1060" s="217"/>
      <c r="B1060" s="218"/>
      <c r="C1060" s="446"/>
      <c r="D1060" s="218"/>
      <c r="E1060" s="221"/>
      <c r="F1060" s="224"/>
      <c r="G1060" s="224"/>
      <c r="H1060" s="222"/>
      <c r="I1060" s="221">
        <f t="shared" si="10"/>
        <v>0</v>
      </c>
      <c r="J1060" s="447"/>
    </row>
    <row r="1061" spans="1:10" ht="15.75" customHeight="1">
      <c r="A1061" s="217"/>
      <c r="B1061" s="218"/>
      <c r="C1061" s="446"/>
      <c r="D1061" s="218"/>
      <c r="E1061" s="221"/>
      <c r="F1061" s="224"/>
      <c r="G1061" s="224"/>
      <c r="H1061" s="222"/>
      <c r="I1061" s="221">
        <f t="shared" si="10"/>
        <v>0</v>
      </c>
      <c r="J1061" s="447"/>
    </row>
    <row r="1062" spans="1:10" ht="15.75" customHeight="1">
      <c r="A1062" s="217"/>
      <c r="B1062" s="218"/>
      <c r="C1062" s="446"/>
      <c r="D1062" s="218"/>
      <c r="E1062" s="221"/>
      <c r="F1062" s="224"/>
      <c r="G1062" s="224"/>
      <c r="H1062" s="222"/>
      <c r="I1062" s="221">
        <f t="shared" si="10"/>
        <v>0</v>
      </c>
      <c r="J1062" s="447"/>
    </row>
    <row r="1063" spans="1:10" ht="15.75" customHeight="1">
      <c r="A1063" s="217"/>
      <c r="B1063" s="218"/>
      <c r="C1063" s="446"/>
      <c r="D1063" s="218"/>
      <c r="E1063" s="221"/>
      <c r="F1063" s="224"/>
      <c r="G1063" s="224"/>
      <c r="H1063" s="222"/>
      <c r="I1063" s="221">
        <f t="shared" si="10"/>
        <v>0</v>
      </c>
      <c r="J1063" s="447"/>
    </row>
    <row r="1064" spans="1:10" ht="15.75" customHeight="1">
      <c r="A1064" s="217"/>
      <c r="B1064" s="218"/>
      <c r="C1064" s="446"/>
      <c r="D1064" s="226"/>
      <c r="E1064" s="221"/>
      <c r="F1064" s="224"/>
      <c r="G1064" s="224"/>
      <c r="H1064" s="222"/>
      <c r="I1064" s="221">
        <f t="shared" si="10"/>
        <v>0</v>
      </c>
      <c r="J1064" s="447"/>
    </row>
    <row r="1065" spans="1:10" ht="15.75" customHeight="1">
      <c r="A1065" s="217"/>
      <c r="B1065" s="218"/>
      <c r="C1065" s="446"/>
      <c r="D1065" s="218"/>
      <c r="E1065" s="221"/>
      <c r="F1065" s="224"/>
      <c r="G1065" s="224"/>
      <c r="H1065" s="222"/>
      <c r="I1065" s="221">
        <f t="shared" si="10"/>
        <v>0</v>
      </c>
      <c r="J1065" s="447"/>
    </row>
    <row r="1066" spans="1:10" ht="15.75" customHeight="1">
      <c r="A1066" s="217"/>
      <c r="B1066" s="218"/>
      <c r="C1066" s="446"/>
      <c r="D1066" s="218"/>
      <c r="E1066" s="221"/>
      <c r="F1066" s="224"/>
      <c r="G1066" s="224"/>
      <c r="H1066" s="222"/>
      <c r="I1066" s="221">
        <f t="shared" si="10"/>
        <v>0</v>
      </c>
      <c r="J1066" s="447"/>
    </row>
    <row r="1067" spans="1:10" ht="15.75" customHeight="1">
      <c r="A1067" s="217"/>
      <c r="B1067" s="218"/>
      <c r="C1067" s="446"/>
      <c r="D1067" s="218"/>
      <c r="E1067" s="221"/>
      <c r="F1067" s="224"/>
      <c r="G1067" s="224"/>
      <c r="H1067" s="222"/>
      <c r="I1067" s="221">
        <f t="shared" si="10"/>
        <v>0</v>
      </c>
      <c r="J1067" s="447"/>
    </row>
    <row r="1068" spans="1:10" ht="15.75" customHeight="1">
      <c r="A1068" s="217"/>
      <c r="B1068" s="218"/>
      <c r="C1068" s="446"/>
      <c r="D1068" s="218"/>
      <c r="E1068" s="221"/>
      <c r="F1068" s="224"/>
      <c r="G1068" s="224"/>
      <c r="H1068" s="222"/>
      <c r="I1068" s="221">
        <f t="shared" si="10"/>
        <v>0</v>
      </c>
      <c r="J1068" s="447"/>
    </row>
    <row r="1069" spans="1:10" ht="15.75" customHeight="1">
      <c r="A1069" s="217"/>
      <c r="B1069" s="218"/>
      <c r="C1069" s="446"/>
      <c r="D1069" s="218"/>
      <c r="E1069" s="221"/>
      <c r="F1069" s="224"/>
      <c r="G1069" s="224"/>
      <c r="H1069" s="222"/>
      <c r="I1069" s="221">
        <f t="shared" si="10"/>
        <v>0</v>
      </c>
      <c r="J1069" s="447"/>
    </row>
    <row r="1070" spans="1:10" ht="15.75" customHeight="1">
      <c r="A1070" s="217"/>
      <c r="B1070" s="218"/>
      <c r="C1070" s="446"/>
      <c r="D1070" s="218"/>
      <c r="E1070" s="221"/>
      <c r="F1070" s="224"/>
      <c r="G1070" s="224"/>
      <c r="H1070" s="222"/>
      <c r="I1070" s="221">
        <f t="shared" si="10"/>
        <v>0</v>
      </c>
      <c r="J1070" s="447"/>
    </row>
    <row r="1071" spans="1:10" ht="15.75" customHeight="1">
      <c r="A1071" s="217"/>
      <c r="B1071" s="218"/>
      <c r="C1071" s="446"/>
      <c r="D1071" s="218"/>
      <c r="E1071" s="221"/>
      <c r="F1071" s="224"/>
      <c r="G1071" s="224"/>
      <c r="H1071" s="222"/>
      <c r="I1071" s="221">
        <f t="shared" si="10"/>
        <v>0</v>
      </c>
      <c r="J1071" s="447"/>
    </row>
    <row r="1072" spans="1:10" ht="15.75" customHeight="1">
      <c r="A1072" s="217"/>
      <c r="B1072" s="218"/>
      <c r="C1072" s="446"/>
      <c r="D1072" s="218"/>
      <c r="E1072" s="221"/>
      <c r="F1072" s="448"/>
      <c r="G1072" s="448"/>
      <c r="H1072" s="222"/>
      <c r="I1072" s="221">
        <f t="shared" si="10"/>
        <v>0</v>
      </c>
      <c r="J1072" s="447"/>
    </row>
    <row r="1073" spans="1:10" ht="15.75" customHeight="1">
      <c r="A1073" s="217"/>
      <c r="B1073" s="218"/>
      <c r="C1073" s="446"/>
      <c r="D1073" s="218"/>
      <c r="E1073" s="221"/>
      <c r="F1073" s="448"/>
      <c r="G1073" s="448"/>
      <c r="H1073" s="222"/>
      <c r="I1073" s="221">
        <f t="shared" si="10"/>
        <v>0</v>
      </c>
      <c r="J1073" s="447"/>
    </row>
    <row r="1074" spans="1:10" ht="15.75" customHeight="1">
      <c r="A1074" s="217"/>
      <c r="B1074" s="218"/>
      <c r="C1074" s="446"/>
      <c r="D1074" s="218"/>
      <c r="E1074" s="221"/>
      <c r="F1074" s="448"/>
      <c r="G1074" s="448"/>
      <c r="H1074" s="222"/>
      <c r="I1074" s="221">
        <f t="shared" si="10"/>
        <v>0</v>
      </c>
      <c r="J1074" s="447"/>
    </row>
    <row r="1075" spans="1:10" ht="15.75" customHeight="1">
      <c r="A1075" s="217"/>
      <c r="B1075" s="218"/>
      <c r="C1075" s="446"/>
      <c r="D1075" s="218"/>
      <c r="E1075" s="221"/>
      <c r="F1075" s="448"/>
      <c r="G1075" s="448"/>
      <c r="H1075" s="222"/>
      <c r="I1075" s="221">
        <f t="shared" si="10"/>
        <v>0</v>
      </c>
      <c r="J1075" s="447"/>
    </row>
    <row r="1076" spans="1:10" ht="15.75" customHeight="1">
      <c r="A1076" s="217"/>
      <c r="B1076" s="218"/>
      <c r="C1076" s="446"/>
      <c r="D1076" s="218"/>
      <c r="E1076" s="221"/>
      <c r="F1076" s="448"/>
      <c r="G1076" s="448"/>
      <c r="H1076" s="222"/>
      <c r="I1076" s="221">
        <f t="shared" si="10"/>
        <v>0</v>
      </c>
      <c r="J1076" s="447"/>
    </row>
    <row r="1077" spans="1:10" ht="15.75" customHeight="1">
      <c r="A1077" s="217"/>
      <c r="B1077" s="218"/>
      <c r="C1077" s="446"/>
      <c r="D1077" s="218"/>
      <c r="E1077" s="221"/>
      <c r="F1077" s="448"/>
      <c r="G1077" s="448"/>
      <c r="H1077" s="222"/>
      <c r="I1077" s="221">
        <f t="shared" si="10"/>
        <v>0</v>
      </c>
      <c r="J1077" s="447"/>
    </row>
    <row r="1078" spans="1:10" ht="15.75" customHeight="1">
      <c r="A1078" s="217"/>
      <c r="B1078" s="218"/>
      <c r="C1078" s="446"/>
      <c r="D1078" s="218"/>
      <c r="E1078" s="221"/>
      <c r="F1078" s="448"/>
      <c r="G1078" s="448"/>
      <c r="H1078" s="222"/>
      <c r="I1078" s="221">
        <f t="shared" si="10"/>
        <v>0</v>
      </c>
      <c r="J1078" s="447"/>
    </row>
    <row r="1079" spans="1:10" ht="15.75" customHeight="1">
      <c r="A1079" s="217"/>
      <c r="B1079" s="218"/>
      <c r="C1079" s="446"/>
      <c r="D1079" s="218"/>
      <c r="E1079" s="221"/>
      <c r="F1079" s="448"/>
      <c r="G1079" s="448"/>
      <c r="H1079" s="222"/>
      <c r="I1079" s="221">
        <f t="shared" si="10"/>
        <v>0</v>
      </c>
      <c r="J1079" s="447"/>
    </row>
    <row r="1080" spans="1:10" ht="15.75" customHeight="1">
      <c r="A1080" s="217"/>
      <c r="B1080" s="218"/>
      <c r="C1080" s="446"/>
      <c r="D1080" s="218"/>
      <c r="E1080" s="221"/>
      <c r="F1080" s="448"/>
      <c r="G1080" s="448"/>
      <c r="H1080" s="222"/>
      <c r="I1080" s="221">
        <f t="shared" si="10"/>
        <v>0</v>
      </c>
      <c r="J1080" s="447"/>
    </row>
    <row r="1081" spans="1:10" ht="15.75" customHeight="1">
      <c r="A1081" s="217"/>
      <c r="B1081" s="218"/>
      <c r="C1081" s="446"/>
      <c r="D1081" s="218"/>
      <c r="E1081" s="221"/>
      <c r="F1081" s="448"/>
      <c r="G1081" s="448"/>
      <c r="H1081" s="222"/>
      <c r="I1081" s="221">
        <f t="shared" si="10"/>
        <v>0</v>
      </c>
      <c r="J1081" s="447"/>
    </row>
    <row r="1082" spans="1:10" ht="15.75" customHeight="1">
      <c r="A1082" s="217"/>
      <c r="B1082" s="218"/>
      <c r="C1082" s="446"/>
      <c r="D1082" s="218"/>
      <c r="E1082" s="221"/>
      <c r="F1082" s="448"/>
      <c r="G1082" s="448"/>
      <c r="H1082" s="222"/>
      <c r="I1082" s="221">
        <f t="shared" si="10"/>
        <v>0</v>
      </c>
      <c r="J1082" s="447"/>
    </row>
    <row r="1083" spans="1:10" ht="15.75" customHeight="1">
      <c r="A1083" s="217"/>
      <c r="B1083" s="218"/>
      <c r="C1083" s="446"/>
      <c r="D1083" s="218"/>
      <c r="E1083" s="221"/>
      <c r="F1083" s="448"/>
      <c r="G1083" s="448"/>
      <c r="H1083" s="222"/>
      <c r="I1083" s="221">
        <f t="shared" si="10"/>
        <v>0</v>
      </c>
      <c r="J1083" s="447"/>
    </row>
    <row r="1084" spans="1:10" ht="15.75" customHeight="1">
      <c r="A1084" s="217"/>
      <c r="B1084" s="218"/>
      <c r="C1084" s="446"/>
      <c r="D1084" s="218"/>
      <c r="E1084" s="221"/>
      <c r="F1084" s="448"/>
      <c r="G1084" s="448"/>
      <c r="H1084" s="222"/>
      <c r="I1084" s="221">
        <f t="shared" si="10"/>
        <v>0</v>
      </c>
      <c r="J1084" s="447"/>
    </row>
    <row r="1085" spans="1:10" ht="15.75" customHeight="1">
      <c r="A1085" s="217"/>
      <c r="B1085" s="218"/>
      <c r="C1085" s="446"/>
      <c r="D1085" s="218"/>
      <c r="E1085" s="221"/>
      <c r="F1085" s="448"/>
      <c r="G1085" s="448"/>
      <c r="H1085" s="222"/>
      <c r="I1085" s="221">
        <f t="shared" si="10"/>
        <v>0</v>
      </c>
      <c r="J1085" s="447"/>
    </row>
    <row r="1086" spans="1:10" ht="15.75" customHeight="1">
      <c r="A1086" s="217"/>
      <c r="B1086" s="218"/>
      <c r="C1086" s="446"/>
      <c r="D1086" s="218"/>
      <c r="E1086" s="221"/>
      <c r="F1086" s="448"/>
      <c r="G1086" s="448"/>
      <c r="H1086" s="222"/>
      <c r="I1086" s="221">
        <f t="shared" si="10"/>
        <v>0</v>
      </c>
      <c r="J1086" s="447"/>
    </row>
    <row r="1087" spans="1:10" ht="15.75" customHeight="1">
      <c r="A1087" s="217"/>
      <c r="B1087" s="218"/>
      <c r="C1087" s="446"/>
      <c r="D1087" s="218"/>
      <c r="E1087" s="221"/>
      <c r="F1087" s="448"/>
      <c r="G1087" s="448"/>
      <c r="H1087" s="222"/>
      <c r="I1087" s="221">
        <f t="shared" si="10"/>
        <v>0</v>
      </c>
      <c r="J1087" s="447"/>
    </row>
    <row r="1088" spans="1:10" ht="15.75" customHeight="1">
      <c r="A1088" s="217"/>
      <c r="B1088" s="218"/>
      <c r="C1088" s="446"/>
      <c r="D1088" s="218"/>
      <c r="E1088" s="221"/>
      <c r="F1088" s="448"/>
      <c r="G1088" s="448"/>
      <c r="H1088" s="222"/>
      <c r="I1088" s="221">
        <f t="shared" si="10"/>
        <v>0</v>
      </c>
      <c r="J1088" s="447"/>
    </row>
    <row r="1089" spans="1:10" ht="15.75" customHeight="1">
      <c r="A1089" s="217"/>
      <c r="B1089" s="218"/>
      <c r="C1089" s="446"/>
      <c r="D1089" s="218"/>
      <c r="E1089" s="221"/>
      <c r="F1089" s="448"/>
      <c r="G1089" s="448"/>
      <c r="H1089" s="222"/>
      <c r="I1089" s="221">
        <f t="shared" si="10"/>
        <v>0</v>
      </c>
      <c r="J1089" s="447"/>
    </row>
    <row r="1090" spans="1:10" ht="15.75" customHeight="1">
      <c r="A1090" s="217"/>
      <c r="B1090" s="218"/>
      <c r="C1090" s="446"/>
      <c r="D1090" s="218"/>
      <c r="E1090" s="221"/>
      <c r="F1090" s="448"/>
      <c r="G1090" s="448"/>
      <c r="H1090" s="222"/>
      <c r="I1090" s="221">
        <f t="shared" si="10"/>
        <v>0</v>
      </c>
      <c r="J1090" s="447"/>
    </row>
    <row r="1091" spans="1:10" ht="15.75" customHeight="1">
      <c r="A1091" s="217"/>
      <c r="B1091" s="218"/>
      <c r="C1091" s="446"/>
      <c r="D1091" s="218"/>
      <c r="E1091" s="221"/>
      <c r="F1091" s="448"/>
      <c r="G1091" s="448"/>
      <c r="H1091" s="222"/>
      <c r="I1091" s="221">
        <f t="shared" si="10"/>
        <v>0</v>
      </c>
      <c r="J1091" s="447"/>
    </row>
    <row r="1092" spans="1:10" ht="15.75" customHeight="1">
      <c r="A1092" s="217"/>
      <c r="B1092" s="218"/>
      <c r="C1092" s="446"/>
      <c r="D1092" s="218"/>
      <c r="E1092" s="221"/>
      <c r="F1092" s="448"/>
      <c r="G1092" s="448"/>
      <c r="H1092" s="222"/>
      <c r="I1092" s="221">
        <f t="shared" si="10"/>
        <v>0</v>
      </c>
      <c r="J1092" s="447"/>
    </row>
    <row r="1093" spans="1:10" ht="15.75" customHeight="1">
      <c r="A1093" s="217"/>
      <c r="B1093" s="218"/>
      <c r="C1093" s="446"/>
      <c r="D1093" s="218"/>
      <c r="E1093" s="221"/>
      <c r="F1093" s="448"/>
      <c r="G1093" s="448"/>
      <c r="H1093" s="222"/>
      <c r="I1093" s="221">
        <f t="shared" si="10"/>
        <v>0</v>
      </c>
      <c r="J1093" s="447"/>
    </row>
    <row r="1094" spans="1:10" ht="15.75" customHeight="1">
      <c r="A1094" s="217"/>
      <c r="B1094" s="218"/>
      <c r="C1094" s="446"/>
      <c r="D1094" s="218"/>
      <c r="E1094" s="221"/>
      <c r="F1094" s="448"/>
      <c r="G1094" s="448"/>
      <c r="H1094" s="222"/>
      <c r="I1094" s="221">
        <f t="shared" si="10"/>
        <v>0</v>
      </c>
      <c r="J1094" s="447"/>
    </row>
    <row r="1095" spans="1:10" ht="15.75" customHeight="1">
      <c r="A1095" s="217"/>
      <c r="B1095" s="218"/>
      <c r="C1095" s="446"/>
      <c r="D1095" s="218"/>
      <c r="E1095" s="221"/>
      <c r="F1095" s="448"/>
      <c r="G1095" s="448"/>
      <c r="H1095" s="222"/>
      <c r="I1095" s="221">
        <f t="shared" si="10"/>
        <v>0</v>
      </c>
      <c r="J1095" s="447"/>
    </row>
    <row r="1096" spans="1:10" ht="15.75" customHeight="1">
      <c r="A1096" s="217"/>
      <c r="B1096" s="218"/>
      <c r="C1096" s="446"/>
      <c r="D1096" s="218"/>
      <c r="E1096" s="221"/>
      <c r="F1096" s="448"/>
      <c r="G1096" s="448"/>
      <c r="H1096" s="222"/>
      <c r="I1096" s="221">
        <f t="shared" si="10"/>
        <v>0</v>
      </c>
      <c r="J1096" s="447"/>
    </row>
    <row r="1097" spans="1:10" ht="15.75" customHeight="1">
      <c r="A1097" s="217"/>
      <c r="B1097" s="218"/>
      <c r="C1097" s="446"/>
      <c r="D1097" s="218"/>
      <c r="E1097" s="221"/>
      <c r="F1097" s="448"/>
      <c r="G1097" s="448"/>
      <c r="H1097" s="222"/>
      <c r="I1097" s="221">
        <f t="shared" si="10"/>
        <v>0</v>
      </c>
      <c r="J1097" s="447"/>
    </row>
    <row r="1098" spans="1:10" ht="15.75" customHeight="1">
      <c r="A1098" s="217"/>
      <c r="B1098" s="218"/>
      <c r="C1098" s="446"/>
      <c r="D1098" s="218"/>
      <c r="E1098" s="221"/>
      <c r="F1098" s="448"/>
      <c r="G1098" s="448"/>
      <c r="H1098" s="222"/>
      <c r="I1098" s="221">
        <f t="shared" si="10"/>
        <v>0</v>
      </c>
      <c r="J1098" s="447"/>
    </row>
    <row r="1099" spans="1:10" ht="15.75" customHeight="1">
      <c r="A1099" s="217"/>
      <c r="B1099" s="218"/>
      <c r="C1099" s="446"/>
      <c r="D1099" s="218"/>
      <c r="E1099" s="221"/>
      <c r="F1099" s="448"/>
      <c r="G1099" s="448"/>
      <c r="H1099" s="222"/>
      <c r="I1099" s="221">
        <f t="shared" si="10"/>
        <v>0</v>
      </c>
      <c r="J1099" s="447"/>
    </row>
    <row r="1100" spans="1:10" ht="15.75" customHeight="1">
      <c r="A1100" s="217"/>
      <c r="B1100" s="218"/>
      <c r="C1100" s="446"/>
      <c r="D1100" s="218"/>
      <c r="E1100" s="221"/>
      <c r="F1100" s="448"/>
      <c r="G1100" s="448"/>
      <c r="H1100" s="222"/>
      <c r="I1100" s="221">
        <f t="shared" si="10"/>
        <v>0</v>
      </c>
      <c r="J1100" s="447"/>
    </row>
    <row r="1101" spans="1:10" ht="15.75" customHeight="1">
      <c r="A1101" s="217"/>
      <c r="B1101" s="218"/>
      <c r="C1101" s="446"/>
      <c r="D1101" s="218"/>
      <c r="E1101" s="221"/>
      <c r="F1101" s="448"/>
      <c r="G1101" s="448"/>
      <c r="H1101" s="222"/>
      <c r="I1101" s="221">
        <f t="shared" si="10"/>
        <v>0</v>
      </c>
      <c r="J1101" s="447"/>
    </row>
    <row r="1102" spans="1:10" ht="15.75" customHeight="1">
      <c r="A1102" s="217"/>
      <c r="B1102" s="218"/>
      <c r="C1102" s="446"/>
      <c r="D1102" s="218"/>
      <c r="E1102" s="221"/>
      <c r="F1102" s="448"/>
      <c r="G1102" s="448"/>
      <c r="H1102" s="222"/>
      <c r="I1102" s="221">
        <f t="shared" si="10"/>
        <v>0</v>
      </c>
      <c r="J1102" s="447"/>
    </row>
    <row r="1103" spans="1:10" ht="15.75" customHeight="1">
      <c r="A1103" s="217"/>
      <c r="B1103" s="218"/>
      <c r="C1103" s="446"/>
      <c r="D1103" s="218"/>
      <c r="E1103" s="221"/>
      <c r="F1103" s="448"/>
      <c r="G1103" s="448"/>
      <c r="H1103" s="222"/>
      <c r="I1103" s="221">
        <f t="shared" si="10"/>
        <v>0</v>
      </c>
      <c r="J1103" s="447"/>
    </row>
    <row r="1104" spans="1:10" ht="15.75" customHeight="1">
      <c r="A1104" s="217"/>
      <c r="B1104" s="218"/>
      <c r="C1104" s="446"/>
      <c r="D1104" s="218"/>
      <c r="E1104" s="221"/>
      <c r="F1104" s="448"/>
      <c r="G1104" s="448"/>
      <c r="H1104" s="222"/>
      <c r="I1104" s="221">
        <f t="shared" si="10"/>
        <v>0</v>
      </c>
      <c r="J1104" s="447"/>
    </row>
    <row r="1105" spans="1:10" ht="15.75" customHeight="1">
      <c r="A1105" s="217"/>
      <c r="B1105" s="218"/>
      <c r="C1105" s="446"/>
      <c r="D1105" s="218"/>
      <c r="E1105" s="221"/>
      <c r="F1105" s="448"/>
      <c r="G1105" s="448"/>
      <c r="H1105" s="222"/>
      <c r="I1105" s="221">
        <f t="shared" si="10"/>
        <v>0</v>
      </c>
      <c r="J1105" s="447"/>
    </row>
    <row r="1106" spans="1:10" ht="15.75" customHeight="1">
      <c r="A1106" s="217"/>
      <c r="B1106" s="218"/>
      <c r="C1106" s="446"/>
      <c r="D1106" s="218"/>
      <c r="E1106" s="221"/>
      <c r="F1106" s="448"/>
      <c r="G1106" s="448"/>
      <c r="H1106" s="222"/>
      <c r="I1106" s="221">
        <f t="shared" si="10"/>
        <v>0</v>
      </c>
      <c r="J1106" s="447"/>
    </row>
    <row r="1107" spans="1:10" ht="15.75" customHeight="1">
      <c r="A1107" s="217"/>
      <c r="B1107" s="218"/>
      <c r="C1107" s="446"/>
      <c r="D1107" s="218"/>
      <c r="E1107" s="221"/>
      <c r="F1107" s="448"/>
      <c r="G1107" s="448"/>
      <c r="H1107" s="222"/>
      <c r="I1107" s="221">
        <f t="shared" si="10"/>
        <v>0</v>
      </c>
      <c r="J1107" s="447"/>
    </row>
    <row r="1108" spans="1:10" ht="15.75" customHeight="1">
      <c r="A1108" s="217"/>
      <c r="B1108" s="218"/>
      <c r="C1108" s="446"/>
      <c r="D1108" s="218"/>
      <c r="E1108" s="221"/>
      <c r="F1108" s="448"/>
      <c r="G1108" s="448"/>
      <c r="H1108" s="222"/>
      <c r="I1108" s="221">
        <f t="shared" si="10"/>
        <v>0</v>
      </c>
      <c r="J1108" s="447"/>
    </row>
    <row r="1109" spans="1:10" ht="15.75" customHeight="1">
      <c r="A1109" s="217"/>
      <c r="B1109" s="218"/>
      <c r="C1109" s="446"/>
      <c r="D1109" s="218"/>
      <c r="E1109" s="221"/>
      <c r="F1109" s="448"/>
      <c r="G1109" s="448"/>
      <c r="H1109" s="222"/>
      <c r="I1109" s="221">
        <f t="shared" si="10"/>
        <v>0</v>
      </c>
      <c r="J1109" s="447"/>
    </row>
    <row r="1110" spans="1:10" ht="15.75" customHeight="1">
      <c r="A1110" s="217"/>
      <c r="B1110" s="218"/>
      <c r="C1110" s="446"/>
      <c r="D1110" s="218"/>
      <c r="E1110" s="221"/>
      <c r="F1110" s="448"/>
      <c r="G1110" s="448"/>
      <c r="H1110" s="222"/>
      <c r="I1110" s="221">
        <f t="shared" si="10"/>
        <v>0</v>
      </c>
      <c r="J1110" s="447"/>
    </row>
    <row r="1111" spans="1:10" ht="15.75" customHeight="1">
      <c r="A1111" s="217"/>
      <c r="B1111" s="218"/>
      <c r="C1111" s="446"/>
      <c r="D1111" s="218"/>
      <c r="E1111" s="221"/>
      <c r="F1111" s="448"/>
      <c r="G1111" s="448"/>
      <c r="H1111" s="222"/>
      <c r="I1111" s="221">
        <f t="shared" si="10"/>
        <v>0</v>
      </c>
      <c r="J1111" s="447"/>
    </row>
    <row r="1112" spans="1:10" ht="15.75" customHeight="1">
      <c r="A1112" s="217"/>
      <c r="B1112" s="218"/>
      <c r="C1112" s="446"/>
      <c r="D1112" s="218"/>
      <c r="E1112" s="221"/>
      <c r="F1112" s="448"/>
      <c r="G1112" s="448"/>
      <c r="H1112" s="222"/>
      <c r="I1112" s="221">
        <f t="shared" si="10"/>
        <v>0</v>
      </c>
      <c r="J1112" s="447"/>
    </row>
    <row r="1113" spans="1:10" ht="15.75" customHeight="1">
      <c r="A1113" s="217"/>
      <c r="B1113" s="218"/>
      <c r="C1113" s="446"/>
      <c r="D1113" s="218"/>
      <c r="E1113" s="221"/>
      <c r="F1113" s="448"/>
      <c r="G1113" s="448"/>
      <c r="H1113" s="222"/>
      <c r="I1113" s="221">
        <f t="shared" si="10"/>
        <v>0</v>
      </c>
      <c r="J1113" s="447"/>
    </row>
    <row r="1114" spans="1:10" ht="15.75" customHeight="1">
      <c r="A1114" s="217"/>
      <c r="B1114" s="218"/>
      <c r="C1114" s="446"/>
      <c r="D1114" s="218"/>
      <c r="E1114" s="221"/>
      <c r="F1114" s="448"/>
      <c r="G1114" s="448"/>
      <c r="H1114" s="222"/>
      <c r="I1114" s="221">
        <f t="shared" si="10"/>
        <v>0</v>
      </c>
      <c r="J1114" s="447"/>
    </row>
    <row r="1115" spans="1:10" ht="15.75" customHeight="1">
      <c r="A1115" s="217"/>
      <c r="B1115" s="218"/>
      <c r="C1115" s="446"/>
      <c r="D1115" s="218"/>
      <c r="E1115" s="221"/>
      <c r="F1115" s="448"/>
      <c r="G1115" s="448"/>
      <c r="H1115" s="222"/>
      <c r="I1115" s="221">
        <f t="shared" si="10"/>
        <v>0</v>
      </c>
      <c r="J1115" s="447"/>
    </row>
    <row r="1116" spans="1:10" ht="15.75" customHeight="1">
      <c r="A1116" s="217"/>
      <c r="B1116" s="218"/>
      <c r="C1116" s="446"/>
      <c r="D1116" s="218"/>
      <c r="E1116" s="221"/>
      <c r="F1116" s="448"/>
      <c r="G1116" s="448"/>
      <c r="H1116" s="222"/>
      <c r="I1116" s="221">
        <f t="shared" si="10"/>
        <v>0</v>
      </c>
      <c r="J1116" s="447"/>
    </row>
    <row r="1117" spans="1:10" ht="15.75" customHeight="1">
      <c r="A1117" s="217"/>
      <c r="B1117" s="218"/>
      <c r="C1117" s="446"/>
      <c r="D1117" s="218"/>
      <c r="E1117" s="221"/>
      <c r="F1117" s="448"/>
      <c r="G1117" s="448"/>
      <c r="H1117" s="222"/>
      <c r="I1117" s="221">
        <f t="shared" si="10"/>
        <v>0</v>
      </c>
      <c r="J1117" s="447"/>
    </row>
    <row r="1118" spans="1:10" ht="15.75" customHeight="1">
      <c r="A1118" s="217"/>
      <c r="B1118" s="218"/>
      <c r="C1118" s="446"/>
      <c r="D1118" s="218"/>
      <c r="E1118" s="221"/>
      <c r="F1118" s="448"/>
      <c r="G1118" s="448"/>
      <c r="H1118" s="222"/>
      <c r="I1118" s="221">
        <f t="shared" si="10"/>
        <v>0</v>
      </c>
      <c r="J1118" s="447"/>
    </row>
    <row r="1119" spans="1:10" ht="15.75" customHeight="1">
      <c r="A1119" s="217"/>
      <c r="B1119" s="218"/>
      <c r="C1119" s="446"/>
      <c r="D1119" s="218"/>
      <c r="E1119" s="221"/>
      <c r="F1119" s="448"/>
      <c r="G1119" s="448"/>
      <c r="H1119" s="222"/>
      <c r="I1119" s="221">
        <f t="shared" si="10"/>
        <v>0</v>
      </c>
      <c r="J1119" s="447"/>
    </row>
    <row r="1120" spans="1:10" ht="15.75" customHeight="1">
      <c r="A1120" s="217"/>
      <c r="B1120" s="218"/>
      <c r="C1120" s="446"/>
      <c r="D1120" s="218"/>
      <c r="E1120" s="221"/>
      <c r="F1120" s="448"/>
      <c r="G1120" s="448"/>
      <c r="H1120" s="222"/>
      <c r="I1120" s="221">
        <f t="shared" si="10"/>
        <v>0</v>
      </c>
      <c r="J1120" s="447"/>
    </row>
    <row r="1121" spans="1:11" ht="15.75" customHeight="1">
      <c r="A1121" s="217"/>
      <c r="B1121" s="218"/>
      <c r="C1121" s="446"/>
      <c r="D1121" s="218"/>
      <c r="E1121" s="221"/>
      <c r="F1121" s="448"/>
      <c r="G1121" s="448"/>
      <c r="H1121" s="222"/>
      <c r="I1121" s="221">
        <f t="shared" si="10"/>
        <v>0</v>
      </c>
      <c r="J1121" s="447"/>
    </row>
    <row r="1122" spans="1:11" ht="15.75" customHeight="1">
      <c r="A1122" s="217"/>
      <c r="B1122" s="218"/>
      <c r="C1122" s="446"/>
      <c r="D1122" s="218"/>
      <c r="E1122" s="221"/>
      <c r="F1122" s="448"/>
      <c r="G1122" s="448"/>
      <c r="H1122" s="222"/>
      <c r="I1122" s="221">
        <f t="shared" si="10"/>
        <v>0</v>
      </c>
      <c r="J1122" s="218" t="s">
        <v>56</v>
      </c>
      <c r="K1122" s="449">
        <f>SUM(E1026:E1125)</f>
        <v>0</v>
      </c>
    </row>
    <row r="1123" spans="1:11" ht="15.75" customHeight="1">
      <c r="A1123" s="217"/>
      <c r="B1123" s="218"/>
      <c r="C1123" s="446"/>
      <c r="D1123" s="218"/>
      <c r="E1123" s="221"/>
      <c r="F1123" s="448"/>
      <c r="G1123" s="448"/>
      <c r="H1123" s="222"/>
      <c r="I1123" s="221">
        <f t="shared" si="10"/>
        <v>0</v>
      </c>
      <c r="J1123" s="218" t="s">
        <v>160</v>
      </c>
      <c r="K1123" s="449">
        <f>SUM(F1026:F1125)</f>
        <v>0</v>
      </c>
    </row>
    <row r="1124" spans="1:11" ht="15.75" customHeight="1">
      <c r="A1124" s="217"/>
      <c r="B1124" s="218"/>
      <c r="C1124" s="446"/>
      <c r="D1124" s="218"/>
      <c r="E1124" s="221"/>
      <c r="F1124" s="448"/>
      <c r="G1124" s="448"/>
      <c r="H1124" s="222"/>
      <c r="I1124" s="221">
        <f t="shared" si="10"/>
        <v>0</v>
      </c>
      <c r="J1124" s="218" t="s">
        <v>72</v>
      </c>
      <c r="K1124" s="449">
        <f>SUM(G1026:G1125)</f>
        <v>0</v>
      </c>
    </row>
    <row r="1125" spans="1:11" ht="15.75" customHeight="1">
      <c r="A1125" s="217"/>
      <c r="B1125" s="218"/>
      <c r="C1125" s="446"/>
      <c r="D1125" s="218"/>
      <c r="E1125" s="221"/>
      <c r="F1125" s="448"/>
      <c r="G1125" s="448"/>
      <c r="H1125" s="222"/>
      <c r="I1125" s="221">
        <f t="shared" si="10"/>
        <v>0</v>
      </c>
      <c r="J1125" s="218" t="s">
        <v>162</v>
      </c>
      <c r="K1125" s="449">
        <f>SUM(H1026:H1125)</f>
        <v>0</v>
      </c>
    </row>
    <row r="1126" spans="1:11" ht="15.75" customHeight="1">
      <c r="A1126" s="218"/>
      <c r="B1126" s="218"/>
      <c r="C1126" s="218"/>
      <c r="D1126" s="218"/>
      <c r="E1126" s="218"/>
      <c r="F1126" s="218"/>
      <c r="G1126" s="218"/>
      <c r="H1126" s="222"/>
      <c r="J1126" s="452" t="s">
        <v>163</v>
      </c>
      <c r="K1126" s="450">
        <f>SUM(K1122:K1125)</f>
        <v>0</v>
      </c>
    </row>
    <row r="1127" spans="1:11" ht="15.75" customHeight="1" thickBot="1">
      <c r="A1127" s="485" t="s">
        <v>30</v>
      </c>
      <c r="B1127" s="486"/>
      <c r="C1127" s="486"/>
      <c r="D1127" s="486"/>
      <c r="E1127" s="486"/>
      <c r="F1127" s="486"/>
      <c r="G1127" s="486"/>
      <c r="H1127" s="486"/>
      <c r="I1127" s="486"/>
      <c r="J1127" s="486"/>
    </row>
    <row r="1128" spans="1:11" ht="15.75" customHeight="1">
      <c r="A1128" s="217"/>
      <c r="B1128" s="218"/>
      <c r="C1128" s="446"/>
      <c r="D1128" s="218"/>
      <c r="E1128" s="221"/>
      <c r="F1128" s="222"/>
      <c r="G1128" s="221"/>
      <c r="H1128" s="221"/>
      <c r="I1128" s="221">
        <f t="shared" ref="I1128:I1227" si="11">SUM(E1128:H1128)</f>
        <v>0</v>
      </c>
      <c r="J1128" s="447"/>
    </row>
    <row r="1129" spans="1:11" ht="15.75" customHeight="1">
      <c r="A1129" s="217"/>
      <c r="B1129" s="218"/>
      <c r="C1129" s="446"/>
      <c r="D1129" s="218"/>
      <c r="E1129" s="222"/>
      <c r="F1129" s="222"/>
      <c r="G1129" s="221"/>
      <c r="H1129" s="222"/>
      <c r="I1129" s="221">
        <f t="shared" si="11"/>
        <v>0</v>
      </c>
      <c r="J1129" s="447"/>
    </row>
    <row r="1130" spans="1:11" ht="15.75" customHeight="1">
      <c r="A1130" s="217"/>
      <c r="B1130" s="218"/>
      <c r="C1130" s="446"/>
      <c r="D1130" s="218"/>
      <c r="E1130" s="221"/>
      <c r="F1130" s="222"/>
      <c r="G1130" s="221"/>
      <c r="H1130" s="221"/>
      <c r="I1130" s="221">
        <f t="shared" si="11"/>
        <v>0</v>
      </c>
      <c r="J1130" s="447"/>
    </row>
    <row r="1131" spans="1:11" ht="15.75" customHeight="1">
      <c r="A1131" s="217"/>
      <c r="B1131" s="218"/>
      <c r="C1131" s="446"/>
      <c r="D1131" s="218"/>
      <c r="E1131" s="221"/>
      <c r="F1131" s="222"/>
      <c r="G1131" s="221"/>
      <c r="H1131" s="221"/>
      <c r="I1131" s="221">
        <f t="shared" si="11"/>
        <v>0</v>
      </c>
      <c r="J1131" s="447"/>
    </row>
    <row r="1132" spans="1:11" ht="15.75" customHeight="1">
      <c r="A1132" s="217"/>
      <c r="B1132" s="218"/>
      <c r="C1132" s="446"/>
      <c r="D1132" s="218"/>
      <c r="E1132" s="222"/>
      <c r="F1132" s="222"/>
      <c r="G1132" s="221"/>
      <c r="H1132" s="222"/>
      <c r="I1132" s="221">
        <f t="shared" si="11"/>
        <v>0</v>
      </c>
      <c r="J1132" s="447"/>
    </row>
    <row r="1133" spans="1:11" ht="15.75" customHeight="1">
      <c r="A1133" s="217"/>
      <c r="B1133" s="218"/>
      <c r="C1133" s="446"/>
      <c r="D1133" s="218"/>
      <c r="E1133" s="221"/>
      <c r="F1133" s="222"/>
      <c r="G1133" s="221"/>
      <c r="H1133" s="221"/>
      <c r="I1133" s="221">
        <f t="shared" si="11"/>
        <v>0</v>
      </c>
      <c r="J1133" s="447"/>
    </row>
    <row r="1134" spans="1:11" ht="15.75" customHeight="1">
      <c r="A1134" s="217"/>
      <c r="B1134" s="218"/>
      <c r="C1134" s="446"/>
      <c r="D1134" s="218"/>
      <c r="E1134" s="221"/>
      <c r="F1134" s="222"/>
      <c r="G1134" s="221"/>
      <c r="H1134" s="221"/>
      <c r="I1134" s="221">
        <f t="shared" si="11"/>
        <v>0</v>
      </c>
      <c r="J1134" s="447"/>
    </row>
    <row r="1135" spans="1:11" ht="15.75" customHeight="1">
      <c r="A1135" s="217"/>
      <c r="B1135" s="218"/>
      <c r="C1135" s="446"/>
      <c r="D1135" s="218"/>
      <c r="E1135" s="221"/>
      <c r="F1135" s="222"/>
      <c r="G1135" s="221"/>
      <c r="H1135" s="221"/>
      <c r="I1135" s="221">
        <f t="shared" si="11"/>
        <v>0</v>
      </c>
      <c r="J1135" s="447"/>
    </row>
    <row r="1136" spans="1:11" ht="15.75" customHeight="1">
      <c r="A1136" s="217"/>
      <c r="B1136" s="218"/>
      <c r="C1136" s="446"/>
      <c r="D1136" s="218"/>
      <c r="E1136" s="222"/>
      <c r="F1136" s="222"/>
      <c r="G1136" s="221"/>
      <c r="H1136" s="222"/>
      <c r="I1136" s="221">
        <f t="shared" si="11"/>
        <v>0</v>
      </c>
      <c r="J1136" s="447"/>
    </row>
    <row r="1137" spans="1:10" ht="15.75" customHeight="1">
      <c r="A1137" s="217"/>
      <c r="B1137" s="218"/>
      <c r="C1137" s="446"/>
      <c r="D1137" s="218"/>
      <c r="E1137" s="222"/>
      <c r="F1137" s="222"/>
      <c r="G1137" s="221"/>
      <c r="H1137" s="222"/>
      <c r="I1137" s="221">
        <f t="shared" si="11"/>
        <v>0</v>
      </c>
      <c r="J1137" s="447"/>
    </row>
    <row r="1138" spans="1:10" ht="15.75" customHeight="1">
      <c r="A1138" s="217"/>
      <c r="B1138" s="218"/>
      <c r="C1138" s="446"/>
      <c r="D1138" s="218"/>
      <c r="E1138" s="221"/>
      <c r="F1138" s="222"/>
      <c r="G1138" s="221"/>
      <c r="H1138" s="221"/>
      <c r="I1138" s="221">
        <f t="shared" si="11"/>
        <v>0</v>
      </c>
      <c r="J1138" s="447"/>
    </row>
    <row r="1139" spans="1:10" ht="15.75" customHeight="1">
      <c r="A1139" s="217"/>
      <c r="B1139" s="218"/>
      <c r="C1139" s="446"/>
      <c r="D1139" s="218"/>
      <c r="E1139" s="221"/>
      <c r="F1139" s="222"/>
      <c r="G1139" s="221"/>
      <c r="H1139" s="221"/>
      <c r="I1139" s="221">
        <f t="shared" si="11"/>
        <v>0</v>
      </c>
      <c r="J1139" s="447"/>
    </row>
    <row r="1140" spans="1:10" ht="15.75" customHeight="1">
      <c r="A1140" s="217"/>
      <c r="B1140" s="218"/>
      <c r="C1140" s="446"/>
      <c r="D1140" s="218"/>
      <c r="E1140" s="221"/>
      <c r="F1140" s="222"/>
      <c r="G1140" s="221"/>
      <c r="H1140" s="221"/>
      <c r="I1140" s="221">
        <f t="shared" si="11"/>
        <v>0</v>
      </c>
      <c r="J1140" s="447"/>
    </row>
    <row r="1141" spans="1:10" ht="15.75" customHeight="1">
      <c r="A1141" s="217"/>
      <c r="B1141" s="218"/>
      <c r="C1141" s="446"/>
      <c r="D1141" s="218"/>
      <c r="E1141" s="222"/>
      <c r="F1141" s="222"/>
      <c r="G1141" s="221"/>
      <c r="H1141" s="222"/>
      <c r="I1141" s="221">
        <f t="shared" si="11"/>
        <v>0</v>
      </c>
      <c r="J1141" s="447"/>
    </row>
    <row r="1142" spans="1:10" ht="15.75" customHeight="1">
      <c r="A1142" s="217"/>
      <c r="B1142" s="218"/>
      <c r="C1142" s="446"/>
      <c r="D1142" s="218"/>
      <c r="E1142" s="222"/>
      <c r="F1142" s="222"/>
      <c r="G1142" s="221"/>
      <c r="H1142" s="222"/>
      <c r="I1142" s="221">
        <f t="shared" si="11"/>
        <v>0</v>
      </c>
      <c r="J1142" s="447"/>
    </row>
    <row r="1143" spans="1:10" ht="15.75" customHeight="1">
      <c r="A1143" s="217"/>
      <c r="B1143" s="218"/>
      <c r="C1143" s="446"/>
      <c r="D1143" s="218"/>
      <c r="E1143" s="222"/>
      <c r="F1143" s="222"/>
      <c r="G1143" s="221"/>
      <c r="H1143" s="222"/>
      <c r="I1143" s="221">
        <f t="shared" si="11"/>
        <v>0</v>
      </c>
      <c r="J1143" s="447"/>
    </row>
    <row r="1144" spans="1:10" ht="15.75" customHeight="1">
      <c r="A1144" s="217"/>
      <c r="B1144" s="218"/>
      <c r="C1144" s="446"/>
      <c r="D1144" s="218"/>
      <c r="E1144" s="222"/>
      <c r="F1144" s="222"/>
      <c r="G1144" s="221"/>
      <c r="H1144" s="222"/>
      <c r="I1144" s="221">
        <f t="shared" si="11"/>
        <v>0</v>
      </c>
      <c r="J1144" s="447"/>
    </row>
    <row r="1145" spans="1:10" ht="15.75" customHeight="1">
      <c r="A1145" s="217"/>
      <c r="B1145" s="218"/>
      <c r="C1145" s="446"/>
      <c r="D1145" s="218"/>
      <c r="E1145" s="222"/>
      <c r="F1145" s="222"/>
      <c r="G1145" s="221"/>
      <c r="H1145" s="222"/>
      <c r="I1145" s="221">
        <f t="shared" si="11"/>
        <v>0</v>
      </c>
      <c r="J1145" s="447"/>
    </row>
    <row r="1146" spans="1:10" ht="15.75" customHeight="1">
      <c r="A1146" s="217"/>
      <c r="B1146" s="218"/>
      <c r="C1146" s="446"/>
      <c r="D1146" s="218"/>
      <c r="E1146" s="222"/>
      <c r="F1146" s="222"/>
      <c r="G1146" s="221"/>
      <c r="H1146" s="222"/>
      <c r="I1146" s="221">
        <f t="shared" si="11"/>
        <v>0</v>
      </c>
      <c r="J1146" s="447"/>
    </row>
    <row r="1147" spans="1:10" ht="15.75" customHeight="1">
      <c r="A1147" s="217"/>
      <c r="B1147" s="218"/>
      <c r="C1147" s="446"/>
      <c r="D1147" s="218"/>
      <c r="E1147" s="222"/>
      <c r="F1147" s="222"/>
      <c r="G1147" s="221"/>
      <c r="H1147" s="222"/>
      <c r="I1147" s="221">
        <f t="shared" si="11"/>
        <v>0</v>
      </c>
      <c r="J1147" s="447"/>
    </row>
    <row r="1148" spans="1:10" ht="15.75" customHeight="1">
      <c r="A1148" s="217"/>
      <c r="B1148" s="218"/>
      <c r="C1148" s="446"/>
      <c r="D1148" s="218"/>
      <c r="E1148" s="221"/>
      <c r="F1148" s="224"/>
      <c r="G1148" s="224"/>
      <c r="H1148" s="222"/>
      <c r="I1148" s="221">
        <f t="shared" si="11"/>
        <v>0</v>
      </c>
      <c r="J1148" s="447"/>
    </row>
    <row r="1149" spans="1:10" ht="15.75" customHeight="1">
      <c r="A1149" s="217"/>
      <c r="B1149" s="218"/>
      <c r="C1149" s="446"/>
      <c r="D1149" s="226"/>
      <c r="E1149" s="221"/>
      <c r="F1149" s="224"/>
      <c r="G1149" s="224"/>
      <c r="H1149" s="222"/>
      <c r="I1149" s="221">
        <f t="shared" si="11"/>
        <v>0</v>
      </c>
      <c r="J1149" s="447"/>
    </row>
    <row r="1150" spans="1:10" ht="15.75" customHeight="1">
      <c r="A1150" s="217"/>
      <c r="B1150" s="218"/>
      <c r="C1150" s="446"/>
      <c r="D1150" s="218"/>
      <c r="E1150" s="221"/>
      <c r="F1150" s="224"/>
      <c r="G1150" s="224"/>
      <c r="H1150" s="222"/>
      <c r="I1150" s="221">
        <f t="shared" si="11"/>
        <v>0</v>
      </c>
      <c r="J1150" s="447"/>
    </row>
    <row r="1151" spans="1:10" ht="15.75" customHeight="1">
      <c r="A1151" s="217"/>
      <c r="B1151" s="218"/>
      <c r="C1151" s="446"/>
      <c r="D1151" s="218"/>
      <c r="E1151" s="221"/>
      <c r="F1151" s="224"/>
      <c r="G1151" s="224"/>
      <c r="H1151" s="222"/>
      <c r="I1151" s="221">
        <f t="shared" si="11"/>
        <v>0</v>
      </c>
      <c r="J1151" s="447"/>
    </row>
    <row r="1152" spans="1:10" ht="15.75" customHeight="1">
      <c r="A1152" s="217"/>
      <c r="B1152" s="218"/>
      <c r="C1152" s="446"/>
      <c r="D1152" s="218"/>
      <c r="E1152" s="221"/>
      <c r="F1152" s="224"/>
      <c r="G1152" s="224"/>
      <c r="H1152" s="222"/>
      <c r="I1152" s="221">
        <f t="shared" si="11"/>
        <v>0</v>
      </c>
      <c r="J1152" s="447"/>
    </row>
    <row r="1153" spans="1:10" ht="15.75" customHeight="1">
      <c r="A1153" s="217"/>
      <c r="B1153" s="218"/>
      <c r="C1153" s="446"/>
      <c r="D1153" s="218"/>
      <c r="E1153" s="221"/>
      <c r="F1153" s="224"/>
      <c r="G1153" s="224"/>
      <c r="H1153" s="222"/>
      <c r="I1153" s="221">
        <f t="shared" si="11"/>
        <v>0</v>
      </c>
      <c r="J1153" s="447"/>
    </row>
    <row r="1154" spans="1:10" ht="15.75" customHeight="1">
      <c r="A1154" s="217"/>
      <c r="B1154" s="218"/>
      <c r="C1154" s="446"/>
      <c r="D1154" s="218"/>
      <c r="E1154" s="221"/>
      <c r="F1154" s="224"/>
      <c r="G1154" s="224"/>
      <c r="H1154" s="222"/>
      <c r="I1154" s="221">
        <f t="shared" si="11"/>
        <v>0</v>
      </c>
      <c r="J1154" s="447"/>
    </row>
    <row r="1155" spans="1:10" ht="15.75" customHeight="1">
      <c r="A1155" s="217"/>
      <c r="B1155" s="218"/>
      <c r="C1155" s="446"/>
      <c r="D1155" s="218"/>
      <c r="E1155" s="221"/>
      <c r="F1155" s="224"/>
      <c r="G1155" s="224"/>
      <c r="H1155" s="222"/>
      <c r="I1155" s="221">
        <f t="shared" si="11"/>
        <v>0</v>
      </c>
      <c r="J1155" s="447"/>
    </row>
    <row r="1156" spans="1:10" ht="15.75" customHeight="1">
      <c r="A1156" s="217"/>
      <c r="B1156" s="218"/>
      <c r="C1156" s="446"/>
      <c r="D1156" s="218"/>
      <c r="E1156" s="221"/>
      <c r="F1156" s="224"/>
      <c r="G1156" s="224"/>
      <c r="H1156" s="222"/>
      <c r="I1156" s="221">
        <f t="shared" si="11"/>
        <v>0</v>
      </c>
      <c r="J1156" s="447"/>
    </row>
    <row r="1157" spans="1:10" ht="15.75" customHeight="1">
      <c r="A1157" s="217"/>
      <c r="B1157" s="218"/>
      <c r="C1157" s="446"/>
      <c r="D1157" s="218"/>
      <c r="E1157" s="221"/>
      <c r="F1157" s="224"/>
      <c r="G1157" s="224"/>
      <c r="H1157" s="222"/>
      <c r="I1157" s="221">
        <f t="shared" si="11"/>
        <v>0</v>
      </c>
      <c r="J1157" s="447"/>
    </row>
    <row r="1158" spans="1:10" ht="15.75" customHeight="1">
      <c r="A1158" s="217"/>
      <c r="B1158" s="218"/>
      <c r="C1158" s="446"/>
      <c r="D1158" s="218"/>
      <c r="E1158" s="221"/>
      <c r="F1158" s="224"/>
      <c r="G1158" s="224"/>
      <c r="H1158" s="222"/>
      <c r="I1158" s="221">
        <f t="shared" si="11"/>
        <v>0</v>
      </c>
      <c r="J1158" s="447"/>
    </row>
    <row r="1159" spans="1:10" ht="15.75" customHeight="1">
      <c r="A1159" s="217"/>
      <c r="B1159" s="218"/>
      <c r="C1159" s="446"/>
      <c r="D1159" s="218"/>
      <c r="E1159" s="221"/>
      <c r="F1159" s="224"/>
      <c r="G1159" s="224"/>
      <c r="H1159" s="222"/>
      <c r="I1159" s="221">
        <f t="shared" si="11"/>
        <v>0</v>
      </c>
      <c r="J1159" s="447"/>
    </row>
    <row r="1160" spans="1:10" ht="15.75" customHeight="1">
      <c r="A1160" s="217"/>
      <c r="B1160" s="218"/>
      <c r="C1160" s="446"/>
      <c r="D1160" s="218"/>
      <c r="E1160" s="221"/>
      <c r="F1160" s="224"/>
      <c r="G1160" s="224"/>
      <c r="H1160" s="222"/>
      <c r="I1160" s="221">
        <f t="shared" si="11"/>
        <v>0</v>
      </c>
      <c r="J1160" s="447"/>
    </row>
    <row r="1161" spans="1:10" ht="15.75" customHeight="1">
      <c r="A1161" s="217"/>
      <c r="B1161" s="218"/>
      <c r="C1161" s="446"/>
      <c r="D1161" s="218"/>
      <c r="E1161" s="221"/>
      <c r="F1161" s="224"/>
      <c r="G1161" s="224"/>
      <c r="H1161" s="222"/>
      <c r="I1161" s="221">
        <f t="shared" si="11"/>
        <v>0</v>
      </c>
      <c r="J1161" s="447"/>
    </row>
    <row r="1162" spans="1:10" ht="15.75" customHeight="1">
      <c r="A1162" s="217"/>
      <c r="B1162" s="218"/>
      <c r="C1162" s="446"/>
      <c r="D1162" s="218"/>
      <c r="E1162" s="221"/>
      <c r="F1162" s="224"/>
      <c r="G1162" s="224"/>
      <c r="H1162" s="222"/>
      <c r="I1162" s="221">
        <f t="shared" si="11"/>
        <v>0</v>
      </c>
      <c r="J1162" s="447"/>
    </row>
    <row r="1163" spans="1:10" ht="15.75" customHeight="1">
      <c r="A1163" s="217"/>
      <c r="B1163" s="218"/>
      <c r="C1163" s="446"/>
      <c r="D1163" s="218"/>
      <c r="E1163" s="221"/>
      <c r="F1163" s="224"/>
      <c r="G1163" s="224"/>
      <c r="H1163" s="222"/>
      <c r="I1163" s="221">
        <f t="shared" si="11"/>
        <v>0</v>
      </c>
      <c r="J1163" s="447"/>
    </row>
    <row r="1164" spans="1:10" ht="15.75" customHeight="1">
      <c r="A1164" s="217"/>
      <c r="B1164" s="218"/>
      <c r="C1164" s="446"/>
      <c r="D1164" s="218"/>
      <c r="E1164" s="221"/>
      <c r="F1164" s="224"/>
      <c r="G1164" s="224"/>
      <c r="H1164" s="222"/>
      <c r="I1164" s="221">
        <f t="shared" si="11"/>
        <v>0</v>
      </c>
      <c r="J1164" s="447"/>
    </row>
    <row r="1165" spans="1:10" ht="15.75" customHeight="1">
      <c r="A1165" s="217"/>
      <c r="B1165" s="218"/>
      <c r="C1165" s="446"/>
      <c r="D1165" s="218"/>
      <c r="E1165" s="221"/>
      <c r="F1165" s="224"/>
      <c r="G1165" s="224"/>
      <c r="H1165" s="222"/>
      <c r="I1165" s="221">
        <f t="shared" si="11"/>
        <v>0</v>
      </c>
      <c r="J1165" s="447"/>
    </row>
    <row r="1166" spans="1:10" ht="15.75" customHeight="1">
      <c r="A1166" s="217"/>
      <c r="B1166" s="218"/>
      <c r="C1166" s="446"/>
      <c r="D1166" s="226"/>
      <c r="E1166" s="221"/>
      <c r="F1166" s="224"/>
      <c r="G1166" s="224"/>
      <c r="H1166" s="222"/>
      <c r="I1166" s="221">
        <f t="shared" si="11"/>
        <v>0</v>
      </c>
      <c r="J1166" s="447"/>
    </row>
    <row r="1167" spans="1:10" ht="15.75" customHeight="1">
      <c r="A1167" s="217"/>
      <c r="B1167" s="218"/>
      <c r="C1167" s="446"/>
      <c r="D1167" s="218"/>
      <c r="E1167" s="221"/>
      <c r="F1167" s="224"/>
      <c r="G1167" s="224"/>
      <c r="H1167" s="222"/>
      <c r="I1167" s="221">
        <f t="shared" si="11"/>
        <v>0</v>
      </c>
      <c r="J1167" s="447"/>
    </row>
    <row r="1168" spans="1:10" ht="15.75" customHeight="1">
      <c r="A1168" s="217"/>
      <c r="B1168" s="218"/>
      <c r="C1168" s="446"/>
      <c r="D1168" s="218"/>
      <c r="E1168" s="221"/>
      <c r="F1168" s="224"/>
      <c r="G1168" s="224"/>
      <c r="H1168" s="222"/>
      <c r="I1168" s="221">
        <f t="shared" si="11"/>
        <v>0</v>
      </c>
      <c r="J1168" s="447"/>
    </row>
    <row r="1169" spans="1:10" ht="15.75" customHeight="1">
      <c r="A1169" s="217"/>
      <c r="B1169" s="218"/>
      <c r="C1169" s="446"/>
      <c r="D1169" s="218"/>
      <c r="E1169" s="221"/>
      <c r="F1169" s="224"/>
      <c r="G1169" s="224"/>
      <c r="H1169" s="222"/>
      <c r="I1169" s="221">
        <f t="shared" si="11"/>
        <v>0</v>
      </c>
      <c r="J1169" s="447"/>
    </row>
    <row r="1170" spans="1:10" ht="15.75" customHeight="1">
      <c r="A1170" s="217"/>
      <c r="B1170" s="218"/>
      <c r="C1170" s="446"/>
      <c r="D1170" s="218"/>
      <c r="E1170" s="221"/>
      <c r="F1170" s="224"/>
      <c r="G1170" s="224"/>
      <c r="H1170" s="222"/>
      <c r="I1170" s="221">
        <f t="shared" si="11"/>
        <v>0</v>
      </c>
      <c r="J1170" s="447"/>
    </row>
    <row r="1171" spans="1:10" ht="15.75" customHeight="1">
      <c r="A1171" s="217"/>
      <c r="B1171" s="218"/>
      <c r="C1171" s="446"/>
      <c r="D1171" s="218"/>
      <c r="E1171" s="221"/>
      <c r="F1171" s="224"/>
      <c r="G1171" s="224"/>
      <c r="H1171" s="222"/>
      <c r="I1171" s="221">
        <f t="shared" si="11"/>
        <v>0</v>
      </c>
      <c r="J1171" s="447"/>
    </row>
    <row r="1172" spans="1:10" ht="15.75" customHeight="1">
      <c r="A1172" s="217"/>
      <c r="B1172" s="218"/>
      <c r="C1172" s="446"/>
      <c r="D1172" s="218"/>
      <c r="E1172" s="221"/>
      <c r="F1172" s="224"/>
      <c r="G1172" s="224"/>
      <c r="H1172" s="222"/>
      <c r="I1172" s="221">
        <f t="shared" si="11"/>
        <v>0</v>
      </c>
      <c r="J1172" s="447"/>
    </row>
    <row r="1173" spans="1:10" ht="15.75" customHeight="1">
      <c r="A1173" s="217"/>
      <c r="B1173" s="218"/>
      <c r="C1173" s="446"/>
      <c r="D1173" s="218"/>
      <c r="E1173" s="221"/>
      <c r="F1173" s="224"/>
      <c r="G1173" s="224"/>
      <c r="H1173" s="222"/>
      <c r="I1173" s="221">
        <f t="shared" si="11"/>
        <v>0</v>
      </c>
      <c r="J1173" s="447"/>
    </row>
    <row r="1174" spans="1:10" ht="15.75" customHeight="1">
      <c r="A1174" s="217"/>
      <c r="B1174" s="218"/>
      <c r="C1174" s="446"/>
      <c r="D1174" s="218"/>
      <c r="E1174" s="221"/>
      <c r="F1174" s="448"/>
      <c r="G1174" s="448"/>
      <c r="H1174" s="222"/>
      <c r="I1174" s="221">
        <f t="shared" si="11"/>
        <v>0</v>
      </c>
      <c r="J1174" s="447"/>
    </row>
    <row r="1175" spans="1:10" ht="15.75" customHeight="1">
      <c r="A1175" s="217"/>
      <c r="B1175" s="218"/>
      <c r="C1175" s="446"/>
      <c r="D1175" s="218"/>
      <c r="E1175" s="221"/>
      <c r="F1175" s="448"/>
      <c r="G1175" s="448"/>
      <c r="H1175" s="222"/>
      <c r="I1175" s="221">
        <f t="shared" si="11"/>
        <v>0</v>
      </c>
      <c r="J1175" s="447"/>
    </row>
    <row r="1176" spans="1:10" ht="15.75" customHeight="1">
      <c r="A1176" s="217"/>
      <c r="B1176" s="218"/>
      <c r="C1176" s="446"/>
      <c r="D1176" s="218"/>
      <c r="E1176" s="221"/>
      <c r="F1176" s="448"/>
      <c r="G1176" s="448"/>
      <c r="H1176" s="222"/>
      <c r="I1176" s="221">
        <f t="shared" si="11"/>
        <v>0</v>
      </c>
      <c r="J1176" s="447"/>
    </row>
    <row r="1177" spans="1:10" ht="15.75" customHeight="1">
      <c r="A1177" s="217"/>
      <c r="B1177" s="218"/>
      <c r="C1177" s="446"/>
      <c r="D1177" s="218"/>
      <c r="E1177" s="221"/>
      <c r="F1177" s="448"/>
      <c r="G1177" s="448"/>
      <c r="H1177" s="222"/>
      <c r="I1177" s="221">
        <f t="shared" si="11"/>
        <v>0</v>
      </c>
      <c r="J1177" s="447"/>
    </row>
    <row r="1178" spans="1:10" ht="15.75" customHeight="1">
      <c r="A1178" s="217"/>
      <c r="B1178" s="218"/>
      <c r="C1178" s="446"/>
      <c r="D1178" s="218"/>
      <c r="E1178" s="221"/>
      <c r="F1178" s="448"/>
      <c r="G1178" s="448"/>
      <c r="H1178" s="222"/>
      <c r="I1178" s="221">
        <f t="shared" si="11"/>
        <v>0</v>
      </c>
      <c r="J1178" s="447"/>
    </row>
    <row r="1179" spans="1:10" ht="15.75" customHeight="1">
      <c r="A1179" s="217"/>
      <c r="B1179" s="218"/>
      <c r="C1179" s="446"/>
      <c r="D1179" s="218"/>
      <c r="E1179" s="221"/>
      <c r="F1179" s="448"/>
      <c r="G1179" s="448"/>
      <c r="H1179" s="222"/>
      <c r="I1179" s="221">
        <f t="shared" si="11"/>
        <v>0</v>
      </c>
      <c r="J1179" s="447"/>
    </row>
    <row r="1180" spans="1:10" ht="15.75" customHeight="1">
      <c r="A1180" s="217"/>
      <c r="B1180" s="218"/>
      <c r="C1180" s="446"/>
      <c r="D1180" s="218"/>
      <c r="E1180" s="221"/>
      <c r="F1180" s="448"/>
      <c r="G1180" s="448"/>
      <c r="H1180" s="222"/>
      <c r="I1180" s="221">
        <f t="shared" si="11"/>
        <v>0</v>
      </c>
      <c r="J1180" s="447"/>
    </row>
    <row r="1181" spans="1:10" ht="15.75" customHeight="1">
      <c r="A1181" s="217"/>
      <c r="B1181" s="218"/>
      <c r="C1181" s="446"/>
      <c r="D1181" s="218"/>
      <c r="E1181" s="221"/>
      <c r="F1181" s="448"/>
      <c r="G1181" s="448"/>
      <c r="H1181" s="222"/>
      <c r="I1181" s="221">
        <f t="shared" si="11"/>
        <v>0</v>
      </c>
      <c r="J1181" s="447"/>
    </row>
    <row r="1182" spans="1:10" ht="15.75" customHeight="1">
      <c r="A1182" s="217"/>
      <c r="B1182" s="218"/>
      <c r="C1182" s="446"/>
      <c r="D1182" s="218"/>
      <c r="E1182" s="221"/>
      <c r="F1182" s="448"/>
      <c r="G1182" s="448"/>
      <c r="H1182" s="222"/>
      <c r="I1182" s="221">
        <f t="shared" si="11"/>
        <v>0</v>
      </c>
      <c r="J1182" s="447"/>
    </row>
    <row r="1183" spans="1:10" ht="15.75" customHeight="1">
      <c r="A1183" s="217"/>
      <c r="B1183" s="218"/>
      <c r="C1183" s="446"/>
      <c r="D1183" s="218"/>
      <c r="E1183" s="221"/>
      <c r="F1183" s="448"/>
      <c r="G1183" s="448"/>
      <c r="H1183" s="222"/>
      <c r="I1183" s="221">
        <f t="shared" si="11"/>
        <v>0</v>
      </c>
      <c r="J1183" s="447"/>
    </row>
    <row r="1184" spans="1:10" ht="15.75" customHeight="1">
      <c r="A1184" s="217"/>
      <c r="B1184" s="218"/>
      <c r="C1184" s="446"/>
      <c r="D1184" s="218"/>
      <c r="E1184" s="221"/>
      <c r="F1184" s="448"/>
      <c r="G1184" s="448"/>
      <c r="H1184" s="222"/>
      <c r="I1184" s="221">
        <f t="shared" si="11"/>
        <v>0</v>
      </c>
      <c r="J1184" s="447"/>
    </row>
    <row r="1185" spans="1:10" ht="15.75" customHeight="1">
      <c r="A1185" s="217"/>
      <c r="B1185" s="218"/>
      <c r="C1185" s="446"/>
      <c r="D1185" s="218"/>
      <c r="E1185" s="221"/>
      <c r="F1185" s="448"/>
      <c r="G1185" s="448"/>
      <c r="H1185" s="222"/>
      <c r="I1185" s="221">
        <f t="shared" si="11"/>
        <v>0</v>
      </c>
      <c r="J1185" s="447"/>
    </row>
    <row r="1186" spans="1:10" ht="15.75" customHeight="1">
      <c r="A1186" s="217"/>
      <c r="B1186" s="218"/>
      <c r="C1186" s="446"/>
      <c r="D1186" s="218"/>
      <c r="E1186" s="221"/>
      <c r="F1186" s="448"/>
      <c r="G1186" s="448"/>
      <c r="H1186" s="222"/>
      <c r="I1186" s="221">
        <f t="shared" si="11"/>
        <v>0</v>
      </c>
      <c r="J1186" s="447"/>
    </row>
    <row r="1187" spans="1:10" ht="15.75" customHeight="1">
      <c r="A1187" s="217"/>
      <c r="B1187" s="218"/>
      <c r="C1187" s="446"/>
      <c r="D1187" s="218"/>
      <c r="E1187" s="221"/>
      <c r="F1187" s="448"/>
      <c r="G1187" s="448"/>
      <c r="H1187" s="222"/>
      <c r="I1187" s="221">
        <f t="shared" si="11"/>
        <v>0</v>
      </c>
      <c r="J1187" s="447"/>
    </row>
    <row r="1188" spans="1:10" ht="15.75" customHeight="1">
      <c r="A1188" s="217"/>
      <c r="B1188" s="218"/>
      <c r="C1188" s="446"/>
      <c r="D1188" s="218"/>
      <c r="E1188" s="221"/>
      <c r="F1188" s="448"/>
      <c r="G1188" s="448"/>
      <c r="H1188" s="222"/>
      <c r="I1188" s="221">
        <f t="shared" si="11"/>
        <v>0</v>
      </c>
      <c r="J1188" s="447"/>
    </row>
    <row r="1189" spans="1:10" ht="15.75" customHeight="1">
      <c r="A1189" s="217"/>
      <c r="B1189" s="218"/>
      <c r="C1189" s="446"/>
      <c r="D1189" s="218"/>
      <c r="E1189" s="221"/>
      <c r="F1189" s="448"/>
      <c r="G1189" s="448"/>
      <c r="H1189" s="222"/>
      <c r="I1189" s="221">
        <f t="shared" si="11"/>
        <v>0</v>
      </c>
      <c r="J1189" s="447"/>
    </row>
    <row r="1190" spans="1:10" ht="15.75" customHeight="1">
      <c r="A1190" s="217"/>
      <c r="B1190" s="218"/>
      <c r="C1190" s="446"/>
      <c r="D1190" s="218"/>
      <c r="E1190" s="221"/>
      <c r="F1190" s="448"/>
      <c r="G1190" s="448"/>
      <c r="H1190" s="222"/>
      <c r="I1190" s="221">
        <f t="shared" si="11"/>
        <v>0</v>
      </c>
      <c r="J1190" s="447"/>
    </row>
    <row r="1191" spans="1:10" ht="15.75" customHeight="1">
      <c r="A1191" s="217"/>
      <c r="B1191" s="218"/>
      <c r="C1191" s="446"/>
      <c r="D1191" s="218"/>
      <c r="E1191" s="221"/>
      <c r="F1191" s="448"/>
      <c r="G1191" s="448"/>
      <c r="H1191" s="222"/>
      <c r="I1191" s="221">
        <f t="shared" si="11"/>
        <v>0</v>
      </c>
      <c r="J1191" s="447"/>
    </row>
    <row r="1192" spans="1:10" ht="15.75" customHeight="1">
      <c r="A1192" s="217"/>
      <c r="B1192" s="218"/>
      <c r="C1192" s="446"/>
      <c r="D1192" s="218"/>
      <c r="E1192" s="221"/>
      <c r="F1192" s="448"/>
      <c r="G1192" s="448"/>
      <c r="H1192" s="222"/>
      <c r="I1192" s="221">
        <f t="shared" si="11"/>
        <v>0</v>
      </c>
      <c r="J1192" s="447"/>
    </row>
    <row r="1193" spans="1:10" ht="15.75" customHeight="1">
      <c r="A1193" s="217"/>
      <c r="B1193" s="218"/>
      <c r="C1193" s="446"/>
      <c r="D1193" s="218"/>
      <c r="E1193" s="221"/>
      <c r="F1193" s="448"/>
      <c r="G1193" s="448"/>
      <c r="H1193" s="222"/>
      <c r="I1193" s="221">
        <f t="shared" si="11"/>
        <v>0</v>
      </c>
      <c r="J1193" s="447"/>
    </row>
    <row r="1194" spans="1:10" ht="15.75" customHeight="1">
      <c r="A1194" s="217"/>
      <c r="B1194" s="218"/>
      <c r="C1194" s="446"/>
      <c r="D1194" s="218"/>
      <c r="E1194" s="221"/>
      <c r="F1194" s="448"/>
      <c r="G1194" s="448"/>
      <c r="H1194" s="222"/>
      <c r="I1194" s="221">
        <f t="shared" si="11"/>
        <v>0</v>
      </c>
      <c r="J1194" s="447"/>
    </row>
    <row r="1195" spans="1:10" ht="15.75" customHeight="1">
      <c r="A1195" s="217"/>
      <c r="B1195" s="218"/>
      <c r="C1195" s="446"/>
      <c r="D1195" s="218"/>
      <c r="E1195" s="221"/>
      <c r="F1195" s="448"/>
      <c r="G1195" s="448"/>
      <c r="H1195" s="222"/>
      <c r="I1195" s="221">
        <f t="shared" si="11"/>
        <v>0</v>
      </c>
      <c r="J1195" s="447"/>
    </row>
    <row r="1196" spans="1:10" ht="15.75" customHeight="1">
      <c r="A1196" s="217"/>
      <c r="B1196" s="218"/>
      <c r="C1196" s="446"/>
      <c r="D1196" s="218"/>
      <c r="E1196" s="221"/>
      <c r="F1196" s="448"/>
      <c r="G1196" s="448"/>
      <c r="H1196" s="222"/>
      <c r="I1196" s="221">
        <f t="shared" si="11"/>
        <v>0</v>
      </c>
      <c r="J1196" s="447"/>
    </row>
    <row r="1197" spans="1:10" ht="15.75" customHeight="1">
      <c r="A1197" s="217"/>
      <c r="B1197" s="218"/>
      <c r="C1197" s="446"/>
      <c r="D1197" s="218"/>
      <c r="E1197" s="221"/>
      <c r="F1197" s="448"/>
      <c r="G1197" s="448"/>
      <c r="H1197" s="222"/>
      <c r="I1197" s="221">
        <f t="shared" si="11"/>
        <v>0</v>
      </c>
      <c r="J1197" s="447"/>
    </row>
    <row r="1198" spans="1:10" ht="15.75" customHeight="1">
      <c r="A1198" s="217"/>
      <c r="B1198" s="218"/>
      <c r="C1198" s="446"/>
      <c r="D1198" s="218"/>
      <c r="E1198" s="221"/>
      <c r="F1198" s="448"/>
      <c r="G1198" s="448"/>
      <c r="H1198" s="222"/>
      <c r="I1198" s="221">
        <f t="shared" si="11"/>
        <v>0</v>
      </c>
      <c r="J1198" s="447"/>
    </row>
    <row r="1199" spans="1:10" ht="15.75" customHeight="1">
      <c r="A1199" s="217"/>
      <c r="B1199" s="218"/>
      <c r="C1199" s="446"/>
      <c r="D1199" s="218"/>
      <c r="E1199" s="221"/>
      <c r="F1199" s="448"/>
      <c r="G1199" s="448"/>
      <c r="H1199" s="222"/>
      <c r="I1199" s="221">
        <f t="shared" si="11"/>
        <v>0</v>
      </c>
      <c r="J1199" s="447"/>
    </row>
    <row r="1200" spans="1:10" ht="15.75" customHeight="1">
      <c r="A1200" s="217"/>
      <c r="B1200" s="218"/>
      <c r="C1200" s="446"/>
      <c r="D1200" s="218"/>
      <c r="E1200" s="221"/>
      <c r="F1200" s="448"/>
      <c r="G1200" s="448"/>
      <c r="H1200" s="222"/>
      <c r="I1200" s="221">
        <f t="shared" si="11"/>
        <v>0</v>
      </c>
      <c r="J1200" s="447"/>
    </row>
    <row r="1201" spans="1:10" ht="15.75" customHeight="1">
      <c r="A1201" s="217"/>
      <c r="B1201" s="218"/>
      <c r="C1201" s="446"/>
      <c r="D1201" s="218"/>
      <c r="E1201" s="221"/>
      <c r="F1201" s="448"/>
      <c r="G1201" s="448"/>
      <c r="H1201" s="222"/>
      <c r="I1201" s="221">
        <f t="shared" si="11"/>
        <v>0</v>
      </c>
      <c r="J1201" s="447"/>
    </row>
    <row r="1202" spans="1:10" ht="15.75" customHeight="1">
      <c r="A1202" s="217"/>
      <c r="B1202" s="218"/>
      <c r="C1202" s="446"/>
      <c r="D1202" s="218"/>
      <c r="E1202" s="221"/>
      <c r="F1202" s="448"/>
      <c r="G1202" s="448"/>
      <c r="H1202" s="222"/>
      <c r="I1202" s="221">
        <f t="shared" si="11"/>
        <v>0</v>
      </c>
      <c r="J1202" s="447"/>
    </row>
    <row r="1203" spans="1:10" ht="15.75" customHeight="1">
      <c r="A1203" s="217"/>
      <c r="B1203" s="218"/>
      <c r="C1203" s="446"/>
      <c r="D1203" s="218"/>
      <c r="E1203" s="221"/>
      <c r="F1203" s="448"/>
      <c r="G1203" s="448"/>
      <c r="H1203" s="222"/>
      <c r="I1203" s="221">
        <f t="shared" si="11"/>
        <v>0</v>
      </c>
      <c r="J1203" s="447"/>
    </row>
    <row r="1204" spans="1:10" ht="15.75" customHeight="1">
      <c r="A1204" s="217"/>
      <c r="B1204" s="218"/>
      <c r="C1204" s="446"/>
      <c r="D1204" s="218"/>
      <c r="E1204" s="221"/>
      <c r="F1204" s="448"/>
      <c r="G1204" s="448"/>
      <c r="H1204" s="222"/>
      <c r="I1204" s="221">
        <f t="shared" si="11"/>
        <v>0</v>
      </c>
      <c r="J1204" s="447"/>
    </row>
    <row r="1205" spans="1:10" ht="15.75" customHeight="1">
      <c r="A1205" s="217"/>
      <c r="B1205" s="218"/>
      <c r="C1205" s="446"/>
      <c r="D1205" s="218"/>
      <c r="E1205" s="221"/>
      <c r="F1205" s="448"/>
      <c r="G1205" s="448"/>
      <c r="H1205" s="222"/>
      <c r="I1205" s="221">
        <f t="shared" si="11"/>
        <v>0</v>
      </c>
      <c r="J1205" s="447"/>
    </row>
    <row r="1206" spans="1:10" ht="15.75" customHeight="1">
      <c r="A1206" s="217"/>
      <c r="B1206" s="218"/>
      <c r="C1206" s="446"/>
      <c r="D1206" s="218"/>
      <c r="E1206" s="221"/>
      <c r="F1206" s="448"/>
      <c r="G1206" s="448"/>
      <c r="H1206" s="222"/>
      <c r="I1206" s="221">
        <f t="shared" si="11"/>
        <v>0</v>
      </c>
      <c r="J1206" s="447"/>
    </row>
    <row r="1207" spans="1:10" ht="15.75" customHeight="1">
      <c r="A1207" s="217"/>
      <c r="B1207" s="218"/>
      <c r="C1207" s="446"/>
      <c r="D1207" s="218"/>
      <c r="E1207" s="221"/>
      <c r="F1207" s="448"/>
      <c r="G1207" s="448"/>
      <c r="H1207" s="222"/>
      <c r="I1207" s="221">
        <f t="shared" si="11"/>
        <v>0</v>
      </c>
      <c r="J1207" s="447"/>
    </row>
    <row r="1208" spans="1:10" ht="15.75" customHeight="1">
      <c r="A1208" s="217"/>
      <c r="B1208" s="218"/>
      <c r="C1208" s="446"/>
      <c r="D1208" s="218"/>
      <c r="E1208" s="221"/>
      <c r="F1208" s="448"/>
      <c r="G1208" s="448"/>
      <c r="H1208" s="222"/>
      <c r="I1208" s="221">
        <f t="shared" si="11"/>
        <v>0</v>
      </c>
      <c r="J1208" s="447"/>
    </row>
    <row r="1209" spans="1:10" ht="15.75" customHeight="1">
      <c r="A1209" s="217"/>
      <c r="B1209" s="218"/>
      <c r="C1209" s="446"/>
      <c r="D1209" s="218"/>
      <c r="E1209" s="221"/>
      <c r="F1209" s="448"/>
      <c r="G1209" s="448"/>
      <c r="H1209" s="222"/>
      <c r="I1209" s="221">
        <f t="shared" si="11"/>
        <v>0</v>
      </c>
      <c r="J1209" s="447"/>
    </row>
    <row r="1210" spans="1:10" ht="15.75" customHeight="1">
      <c r="A1210" s="217"/>
      <c r="B1210" s="218"/>
      <c r="C1210" s="446"/>
      <c r="D1210" s="218"/>
      <c r="E1210" s="221"/>
      <c r="F1210" s="448"/>
      <c r="G1210" s="448"/>
      <c r="H1210" s="222"/>
      <c r="I1210" s="221">
        <f t="shared" si="11"/>
        <v>0</v>
      </c>
      <c r="J1210" s="447"/>
    </row>
    <row r="1211" spans="1:10" ht="15.75" customHeight="1">
      <c r="A1211" s="217"/>
      <c r="B1211" s="218"/>
      <c r="C1211" s="446"/>
      <c r="D1211" s="218"/>
      <c r="E1211" s="221"/>
      <c r="F1211" s="448"/>
      <c r="G1211" s="448"/>
      <c r="H1211" s="222"/>
      <c r="I1211" s="221">
        <f t="shared" si="11"/>
        <v>0</v>
      </c>
      <c r="J1211" s="447"/>
    </row>
    <row r="1212" spans="1:10" ht="15.75" customHeight="1">
      <c r="A1212" s="217"/>
      <c r="B1212" s="218"/>
      <c r="C1212" s="446"/>
      <c r="D1212" s="218"/>
      <c r="E1212" s="221"/>
      <c r="F1212" s="448"/>
      <c r="G1212" s="448"/>
      <c r="H1212" s="222"/>
      <c r="I1212" s="221">
        <f t="shared" si="11"/>
        <v>0</v>
      </c>
      <c r="J1212" s="447"/>
    </row>
    <row r="1213" spans="1:10" ht="15.75" customHeight="1">
      <c r="A1213" s="217"/>
      <c r="B1213" s="218"/>
      <c r="C1213" s="446"/>
      <c r="D1213" s="218"/>
      <c r="E1213" s="221"/>
      <c r="F1213" s="448"/>
      <c r="G1213" s="448"/>
      <c r="H1213" s="222"/>
      <c r="I1213" s="221">
        <f t="shared" si="11"/>
        <v>0</v>
      </c>
      <c r="J1213" s="447"/>
    </row>
    <row r="1214" spans="1:10" ht="15.75" customHeight="1">
      <c r="A1214" s="217"/>
      <c r="B1214" s="218"/>
      <c r="C1214" s="446"/>
      <c r="D1214" s="218"/>
      <c r="E1214" s="221"/>
      <c r="F1214" s="448"/>
      <c r="G1214" s="448"/>
      <c r="H1214" s="222"/>
      <c r="I1214" s="221">
        <f t="shared" si="11"/>
        <v>0</v>
      </c>
      <c r="J1214" s="447"/>
    </row>
    <row r="1215" spans="1:10" ht="15.75" customHeight="1">
      <c r="A1215" s="217"/>
      <c r="B1215" s="218"/>
      <c r="C1215" s="446"/>
      <c r="D1215" s="218"/>
      <c r="E1215" s="221"/>
      <c r="F1215" s="448"/>
      <c r="G1215" s="448"/>
      <c r="H1215" s="222"/>
      <c r="I1215" s="221">
        <f t="shared" si="11"/>
        <v>0</v>
      </c>
      <c r="J1215" s="447"/>
    </row>
    <row r="1216" spans="1:10" ht="15.75" customHeight="1">
      <c r="A1216" s="217"/>
      <c r="B1216" s="218"/>
      <c r="C1216" s="446"/>
      <c r="D1216" s="218"/>
      <c r="E1216" s="221"/>
      <c r="F1216" s="448"/>
      <c r="G1216" s="448"/>
      <c r="H1216" s="222"/>
      <c r="I1216" s="221">
        <f t="shared" si="11"/>
        <v>0</v>
      </c>
      <c r="J1216" s="447"/>
    </row>
    <row r="1217" spans="1:11" ht="15.75" customHeight="1">
      <c r="A1217" s="217"/>
      <c r="B1217" s="218"/>
      <c r="C1217" s="446"/>
      <c r="D1217" s="218"/>
      <c r="E1217" s="221"/>
      <c r="F1217" s="448"/>
      <c r="G1217" s="448"/>
      <c r="H1217" s="222"/>
      <c r="I1217" s="221">
        <f t="shared" si="11"/>
        <v>0</v>
      </c>
      <c r="J1217" s="447"/>
    </row>
    <row r="1218" spans="1:11" ht="15.75" customHeight="1">
      <c r="A1218" s="217"/>
      <c r="B1218" s="218"/>
      <c r="C1218" s="446"/>
      <c r="D1218" s="218"/>
      <c r="E1218" s="221"/>
      <c r="F1218" s="448"/>
      <c r="G1218" s="448"/>
      <c r="H1218" s="222"/>
      <c r="I1218" s="221">
        <f t="shared" si="11"/>
        <v>0</v>
      </c>
      <c r="J1218" s="447"/>
    </row>
    <row r="1219" spans="1:11" ht="15.75" customHeight="1">
      <c r="A1219" s="217"/>
      <c r="B1219" s="218"/>
      <c r="C1219" s="446"/>
      <c r="D1219" s="218"/>
      <c r="E1219" s="221"/>
      <c r="F1219" s="448"/>
      <c r="G1219" s="448"/>
      <c r="H1219" s="222"/>
      <c r="I1219" s="221">
        <f t="shared" si="11"/>
        <v>0</v>
      </c>
      <c r="J1219" s="447"/>
    </row>
    <row r="1220" spans="1:11" ht="15.75" customHeight="1">
      <c r="A1220" s="217"/>
      <c r="B1220" s="218"/>
      <c r="C1220" s="446"/>
      <c r="D1220" s="218"/>
      <c r="E1220" s="221"/>
      <c r="F1220" s="448"/>
      <c r="G1220" s="448"/>
      <c r="H1220" s="222"/>
      <c r="I1220" s="221">
        <f t="shared" si="11"/>
        <v>0</v>
      </c>
      <c r="J1220" s="447"/>
    </row>
    <row r="1221" spans="1:11" ht="15.75" customHeight="1">
      <c r="A1221" s="217"/>
      <c r="B1221" s="218"/>
      <c r="C1221" s="446"/>
      <c r="D1221" s="218"/>
      <c r="E1221" s="221"/>
      <c r="F1221" s="448"/>
      <c r="G1221" s="448"/>
      <c r="H1221" s="222"/>
      <c r="I1221" s="221">
        <f t="shared" si="11"/>
        <v>0</v>
      </c>
      <c r="J1221" s="447"/>
    </row>
    <row r="1222" spans="1:11" ht="15.75" customHeight="1">
      <c r="A1222" s="217"/>
      <c r="B1222" s="218"/>
      <c r="C1222" s="446"/>
      <c r="D1222" s="218"/>
      <c r="E1222" s="221"/>
      <c r="F1222" s="448"/>
      <c r="G1222" s="448"/>
      <c r="H1222" s="222"/>
      <c r="I1222" s="221">
        <f t="shared" si="11"/>
        <v>0</v>
      </c>
      <c r="J1222" s="447"/>
    </row>
    <row r="1223" spans="1:11" ht="15.75" customHeight="1">
      <c r="A1223" s="217"/>
      <c r="B1223" s="218"/>
      <c r="C1223" s="446"/>
      <c r="D1223" s="218"/>
      <c r="E1223" s="221"/>
      <c r="F1223" s="448"/>
      <c r="G1223" s="448"/>
      <c r="H1223" s="222"/>
      <c r="I1223" s="221">
        <f t="shared" si="11"/>
        <v>0</v>
      </c>
      <c r="J1223" s="447"/>
    </row>
    <row r="1224" spans="1:11" ht="15.75" customHeight="1">
      <c r="A1224" s="217"/>
      <c r="B1224" s="218"/>
      <c r="C1224" s="446"/>
      <c r="D1224" s="218"/>
      <c r="E1224" s="221"/>
      <c r="F1224" s="448"/>
      <c r="G1224" s="448"/>
      <c r="H1224" s="222"/>
      <c r="I1224" s="221">
        <f t="shared" si="11"/>
        <v>0</v>
      </c>
      <c r="J1224" s="218" t="s">
        <v>56</v>
      </c>
      <c r="K1224" s="449">
        <f>SUM(E1128:E1227)</f>
        <v>0</v>
      </c>
    </row>
    <row r="1225" spans="1:11" ht="15.75" customHeight="1">
      <c r="A1225" s="217"/>
      <c r="B1225" s="218"/>
      <c r="C1225" s="446"/>
      <c r="D1225" s="218"/>
      <c r="E1225" s="221"/>
      <c r="F1225" s="448"/>
      <c r="G1225" s="448"/>
      <c r="H1225" s="222"/>
      <c r="I1225" s="221">
        <f t="shared" si="11"/>
        <v>0</v>
      </c>
      <c r="J1225" s="218" t="s">
        <v>160</v>
      </c>
      <c r="K1225" s="449">
        <f>SUM(F1128:F1227)</f>
        <v>0</v>
      </c>
    </row>
    <row r="1226" spans="1:11" ht="15.75" customHeight="1">
      <c r="A1226" s="217"/>
      <c r="B1226" s="218"/>
      <c r="C1226" s="446"/>
      <c r="D1226" s="218"/>
      <c r="E1226" s="221"/>
      <c r="F1226" s="448"/>
      <c r="G1226" s="448"/>
      <c r="H1226" s="222"/>
      <c r="I1226" s="221">
        <f t="shared" si="11"/>
        <v>0</v>
      </c>
      <c r="J1226" s="218" t="s">
        <v>72</v>
      </c>
      <c r="K1226" s="449">
        <f>SUM(G1128:G1227)</f>
        <v>0</v>
      </c>
    </row>
    <row r="1227" spans="1:11" ht="15.75" customHeight="1">
      <c r="A1227" s="217"/>
      <c r="B1227" s="218"/>
      <c r="C1227" s="446"/>
      <c r="D1227" s="218"/>
      <c r="E1227" s="221"/>
      <c r="F1227" s="448"/>
      <c r="G1227" s="448"/>
      <c r="H1227" s="222"/>
      <c r="I1227" s="221">
        <f t="shared" si="11"/>
        <v>0</v>
      </c>
      <c r="J1227" s="218" t="s">
        <v>162</v>
      </c>
      <c r="K1227" s="449">
        <f>SUM(H1128:H1227)</f>
        <v>0</v>
      </c>
    </row>
    <row r="1228" spans="1:11" ht="15.75" customHeight="1">
      <c r="A1228" s="218"/>
      <c r="B1228" s="218"/>
      <c r="C1228" s="218"/>
      <c r="D1228" s="218"/>
      <c r="E1228" s="218"/>
      <c r="F1228" s="218"/>
      <c r="G1228" s="218"/>
      <c r="H1228" s="222"/>
      <c r="J1228" s="452" t="s">
        <v>163</v>
      </c>
      <c r="K1228" s="450">
        <f>SUM(K1224:K1227)</f>
        <v>0</v>
      </c>
    </row>
  </sheetData>
  <mergeCells count="13">
    <mergeCell ref="A923:J923"/>
    <mergeCell ref="A1025:J1025"/>
    <mergeCell ref="A1127:J1127"/>
    <mergeCell ref="A1:I1"/>
    <mergeCell ref="A5:J5"/>
    <mergeCell ref="A107:J107"/>
    <mergeCell ref="A209:J209"/>
    <mergeCell ref="A311:J311"/>
    <mergeCell ref="A413:J413"/>
    <mergeCell ref="A515:J515"/>
    <mergeCell ref="A617:J617"/>
    <mergeCell ref="A719:J719"/>
    <mergeCell ref="A821:J821"/>
  </mergeCells>
  <printOptions horizontalCentered="1" gridLines="1"/>
  <pageMargins left="0.25" right="0.25" top="0.75" bottom="0.75" header="0" footer="0"/>
  <pageSetup paperSize="9" fitToHeight="0" pageOrder="overThenDown" orientation="portrait" cellComments="atEnd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X35"/>
  <sheetViews>
    <sheetView workbookViewId="0">
      <selection activeCell="H13" sqref="H13"/>
    </sheetView>
  </sheetViews>
  <sheetFormatPr baseColWidth="10" defaultColWidth="12.5703125" defaultRowHeight="15.75" customHeight="1"/>
  <cols>
    <col min="1" max="1" width="3.85546875" customWidth="1"/>
    <col min="2" max="2" width="10.140625" customWidth="1"/>
    <col min="3" max="3" width="3.85546875" customWidth="1"/>
    <col min="4" max="4" width="10.140625" customWidth="1"/>
    <col min="5" max="5" width="3.85546875" customWidth="1"/>
    <col min="6" max="6" width="10.140625" customWidth="1"/>
    <col min="7" max="7" width="3.85546875" customWidth="1"/>
    <col min="8" max="8" width="10.140625" customWidth="1"/>
    <col min="9" max="9" width="3.85546875" customWidth="1"/>
    <col min="10" max="10" width="10.140625" customWidth="1"/>
    <col min="11" max="11" width="3.85546875" customWidth="1"/>
    <col min="12" max="12" width="10.140625" customWidth="1"/>
    <col min="13" max="13" width="3.85546875" customWidth="1"/>
    <col min="14" max="14" width="10.140625" customWidth="1"/>
    <col min="15" max="15" width="3.85546875" customWidth="1"/>
    <col min="16" max="16" width="10.140625" customWidth="1"/>
    <col min="17" max="17" width="3.85546875" customWidth="1"/>
    <col min="18" max="18" width="10.140625" customWidth="1"/>
    <col min="19" max="19" width="3.85546875" customWidth="1"/>
    <col min="20" max="20" width="10.140625" customWidth="1"/>
    <col min="21" max="21" width="3.85546875" customWidth="1"/>
    <col min="22" max="22" width="10.140625" customWidth="1"/>
    <col min="23" max="23" width="3.85546875" customWidth="1"/>
    <col min="24" max="24" width="10.140625" customWidth="1"/>
  </cols>
  <sheetData>
    <row r="1" spans="1:24" ht="18">
      <c r="A1" s="491" t="s">
        <v>182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456"/>
      <c r="N1" s="456"/>
      <c r="O1" s="456"/>
      <c r="P1" s="456"/>
      <c r="Q1" s="456"/>
      <c r="R1" s="456"/>
      <c r="S1" s="456"/>
      <c r="T1" s="456"/>
      <c r="U1" s="456"/>
      <c r="V1" s="456"/>
      <c r="W1" s="456"/>
      <c r="X1" s="456"/>
    </row>
    <row r="2" spans="1:24" ht="18">
      <c r="A2" s="491" t="s">
        <v>183</v>
      </c>
      <c r="B2" s="456"/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92">
        <f>B35+D35+F35+H35+J35+L35+N35+P35+R35+T35+V35+X35</f>
        <v>159662.95000000001</v>
      </c>
      <c r="N2" s="456"/>
      <c r="O2" s="456"/>
      <c r="P2" s="456"/>
      <c r="Q2" s="456"/>
      <c r="R2" s="456"/>
      <c r="S2" s="456"/>
      <c r="T2" s="456"/>
      <c r="U2" s="456"/>
      <c r="V2" s="456"/>
      <c r="W2" s="456"/>
      <c r="X2" s="456"/>
    </row>
    <row r="3" spans="1:24" ht="15" customHeight="1">
      <c r="A3" s="489" t="s">
        <v>19</v>
      </c>
      <c r="B3" s="490"/>
      <c r="C3" s="489" t="s">
        <v>20</v>
      </c>
      <c r="D3" s="490"/>
      <c r="E3" s="489" t="s">
        <v>21</v>
      </c>
      <c r="F3" s="490"/>
      <c r="G3" s="489" t="s">
        <v>22</v>
      </c>
      <c r="H3" s="490"/>
      <c r="I3" s="489" t="s">
        <v>23</v>
      </c>
      <c r="J3" s="490"/>
      <c r="K3" s="489" t="s">
        <v>24</v>
      </c>
      <c r="L3" s="490"/>
      <c r="M3" s="489" t="s">
        <v>25</v>
      </c>
      <c r="N3" s="490"/>
      <c r="O3" s="489" t="s">
        <v>26</v>
      </c>
      <c r="P3" s="490"/>
      <c r="Q3" s="489" t="s">
        <v>27</v>
      </c>
      <c r="R3" s="490"/>
      <c r="S3" s="489" t="s">
        <v>28</v>
      </c>
      <c r="T3" s="490"/>
      <c r="U3" s="489" t="s">
        <v>29</v>
      </c>
      <c r="V3" s="490"/>
      <c r="W3" s="489" t="s">
        <v>30</v>
      </c>
      <c r="X3" s="490"/>
    </row>
    <row r="4" spans="1:24" ht="15" customHeight="1">
      <c r="A4" s="205">
        <v>25</v>
      </c>
      <c r="B4" s="232"/>
      <c r="C4" s="205">
        <v>25</v>
      </c>
      <c r="D4" s="233"/>
      <c r="E4" s="205">
        <v>25</v>
      </c>
      <c r="F4" s="233"/>
      <c r="G4" s="205">
        <v>25</v>
      </c>
      <c r="H4" s="233">
        <f>200+200+100</f>
        <v>500</v>
      </c>
      <c r="I4" s="205">
        <v>25</v>
      </c>
      <c r="J4" s="233">
        <f>200+300</f>
        <v>500</v>
      </c>
      <c r="K4" s="205">
        <v>25</v>
      </c>
      <c r="L4" s="232" t="s">
        <v>184</v>
      </c>
      <c r="M4" s="205">
        <v>25</v>
      </c>
      <c r="N4" s="233">
        <v>0</v>
      </c>
      <c r="O4" s="205">
        <v>25</v>
      </c>
      <c r="P4" s="233">
        <f>500+2802.21+1045.74</f>
        <v>4347.95</v>
      </c>
      <c r="Q4" s="205">
        <v>25</v>
      </c>
      <c r="R4" s="232" t="s">
        <v>184</v>
      </c>
      <c r="S4" s="205">
        <v>25</v>
      </c>
      <c r="T4" s="233"/>
      <c r="U4" s="205">
        <v>25</v>
      </c>
      <c r="V4" s="233"/>
      <c r="W4" s="205">
        <v>25</v>
      </c>
      <c r="X4" s="233"/>
    </row>
    <row r="5" spans="1:24" ht="15" customHeight="1">
      <c r="A5" s="205">
        <v>26</v>
      </c>
      <c r="B5" s="233"/>
      <c r="C5" s="205">
        <v>26</v>
      </c>
      <c r="D5" s="233"/>
      <c r="E5" s="205">
        <v>26</v>
      </c>
      <c r="F5" s="232"/>
      <c r="G5" s="205">
        <v>26</v>
      </c>
      <c r="H5" s="233">
        <v>0</v>
      </c>
      <c r="I5" s="205">
        <v>26</v>
      </c>
      <c r="J5" s="233">
        <f>400+500+250</f>
        <v>1150</v>
      </c>
      <c r="K5" s="205">
        <v>26</v>
      </c>
      <c r="L5" s="233">
        <v>0</v>
      </c>
      <c r="M5" s="205">
        <v>26</v>
      </c>
      <c r="N5" s="233">
        <f>400+300+200</f>
        <v>900</v>
      </c>
      <c r="O5" s="205">
        <v>26</v>
      </c>
      <c r="P5" s="233">
        <v>0</v>
      </c>
      <c r="Q5" s="205">
        <v>26</v>
      </c>
      <c r="R5" s="233">
        <v>0</v>
      </c>
      <c r="S5" s="205">
        <v>26</v>
      </c>
      <c r="T5" s="233"/>
      <c r="U5" s="205">
        <v>26</v>
      </c>
      <c r="V5" s="233"/>
      <c r="W5" s="205">
        <v>26</v>
      </c>
      <c r="X5" s="233"/>
    </row>
    <row r="6" spans="1:24" ht="15" customHeight="1">
      <c r="A6" s="205">
        <v>27</v>
      </c>
      <c r="B6" s="233"/>
      <c r="C6" s="205">
        <v>27</v>
      </c>
      <c r="D6" s="233"/>
      <c r="E6" s="205">
        <v>27</v>
      </c>
      <c r="F6" s="233"/>
      <c r="G6" s="205">
        <v>27</v>
      </c>
      <c r="H6" s="233">
        <f>700+90+250</f>
        <v>1040</v>
      </c>
      <c r="I6" s="205">
        <v>27</v>
      </c>
      <c r="J6" s="233">
        <f>500+700</f>
        <v>1200</v>
      </c>
      <c r="K6" s="205">
        <v>27</v>
      </c>
      <c r="L6" s="233">
        <f>200+1000</f>
        <v>1200</v>
      </c>
      <c r="M6" s="205">
        <v>27</v>
      </c>
      <c r="N6" s="233">
        <f>200</f>
        <v>200</v>
      </c>
      <c r="O6" s="205">
        <v>27</v>
      </c>
      <c r="P6" s="232" t="s">
        <v>184</v>
      </c>
      <c r="Q6" s="205">
        <v>27</v>
      </c>
      <c r="R6" s="233">
        <v>0</v>
      </c>
      <c r="S6" s="205">
        <v>27</v>
      </c>
      <c r="T6" s="233"/>
      <c r="U6" s="205">
        <v>27</v>
      </c>
      <c r="V6" s="233"/>
      <c r="W6" s="205">
        <v>27</v>
      </c>
      <c r="X6" s="233"/>
    </row>
    <row r="7" spans="1:24" ht="15" customHeight="1">
      <c r="A7" s="205">
        <v>28</v>
      </c>
      <c r="B7" s="233"/>
      <c r="C7" s="205">
        <v>28</v>
      </c>
      <c r="D7" s="233"/>
      <c r="E7" s="205">
        <v>28</v>
      </c>
      <c r="F7" s="233"/>
      <c r="G7" s="205">
        <v>28</v>
      </c>
      <c r="H7" s="233">
        <v>0</v>
      </c>
      <c r="I7" s="205">
        <v>28</v>
      </c>
      <c r="J7" s="232" t="s">
        <v>184</v>
      </c>
      <c r="K7" s="205">
        <v>28</v>
      </c>
      <c r="L7" s="233">
        <v>0</v>
      </c>
      <c r="M7" s="205">
        <v>28</v>
      </c>
      <c r="N7" s="233">
        <f>150+400+600+300</f>
        <v>1450</v>
      </c>
      <c r="O7" s="205">
        <v>28</v>
      </c>
      <c r="P7" s="233">
        <v>0</v>
      </c>
      <c r="Q7" s="205">
        <v>28</v>
      </c>
      <c r="R7" s="233">
        <v>0</v>
      </c>
      <c r="S7" s="205">
        <v>28</v>
      </c>
      <c r="T7" s="233"/>
      <c r="U7" s="205">
        <v>28</v>
      </c>
      <c r="V7" s="233">
        <f>500+1000</f>
        <v>1500</v>
      </c>
      <c r="W7" s="205">
        <v>28</v>
      </c>
      <c r="X7" s="233"/>
    </row>
    <row r="8" spans="1:24" ht="15" customHeight="1">
      <c r="A8" s="205">
        <v>29</v>
      </c>
      <c r="B8" s="233"/>
      <c r="C8" s="205">
        <v>29</v>
      </c>
      <c r="D8" s="232"/>
      <c r="E8" s="205">
        <v>29</v>
      </c>
      <c r="F8" s="233"/>
      <c r="G8" s="205">
        <v>29</v>
      </c>
      <c r="H8" s="233">
        <v>0</v>
      </c>
      <c r="I8" s="205">
        <v>29</v>
      </c>
      <c r="J8" s="233">
        <v>0</v>
      </c>
      <c r="K8" s="205">
        <v>29</v>
      </c>
      <c r="L8" s="233">
        <f>300+400</f>
        <v>700</v>
      </c>
      <c r="M8" s="205">
        <v>29</v>
      </c>
      <c r="N8" s="233">
        <v>0</v>
      </c>
      <c r="O8" s="205">
        <v>29</v>
      </c>
      <c r="P8" s="233">
        <v>0</v>
      </c>
      <c r="Q8" s="205">
        <v>29</v>
      </c>
      <c r="R8" s="233">
        <v>600</v>
      </c>
      <c r="S8" s="205">
        <v>29</v>
      </c>
      <c r="T8" s="232" t="s">
        <v>184</v>
      </c>
      <c r="U8" s="205">
        <v>1</v>
      </c>
      <c r="V8" s="233"/>
      <c r="W8" s="205">
        <v>29</v>
      </c>
      <c r="X8" s="232">
        <v>200</v>
      </c>
    </row>
    <row r="9" spans="1:24" ht="15" customHeight="1">
      <c r="A9" s="205">
        <v>30</v>
      </c>
      <c r="B9" s="233"/>
      <c r="C9" s="205">
        <v>30</v>
      </c>
      <c r="D9" s="233"/>
      <c r="E9" s="205">
        <v>30</v>
      </c>
      <c r="F9" s="233"/>
      <c r="G9" s="205">
        <v>30</v>
      </c>
      <c r="H9" s="233">
        <v>0</v>
      </c>
      <c r="I9" s="205">
        <v>30</v>
      </c>
      <c r="J9" s="233">
        <v>0</v>
      </c>
      <c r="K9" s="205">
        <v>30</v>
      </c>
      <c r="L9" s="233">
        <f>1000+500</f>
        <v>1500</v>
      </c>
      <c r="M9" s="205">
        <v>30</v>
      </c>
      <c r="N9" s="232" t="s">
        <v>184</v>
      </c>
      <c r="O9" s="205">
        <v>30</v>
      </c>
      <c r="P9" s="233">
        <v>0</v>
      </c>
      <c r="Q9" s="205">
        <v>30</v>
      </c>
      <c r="R9" s="233"/>
      <c r="S9" s="205">
        <v>30</v>
      </c>
      <c r="T9" s="233"/>
      <c r="U9" s="205">
        <v>2</v>
      </c>
      <c r="V9" s="233"/>
      <c r="W9" s="205">
        <v>30</v>
      </c>
      <c r="X9" s="233"/>
    </row>
    <row r="10" spans="1:24" ht="15" customHeight="1">
      <c r="A10" s="205">
        <v>31</v>
      </c>
      <c r="B10" s="233"/>
      <c r="C10" s="205">
        <v>1</v>
      </c>
      <c r="D10" s="233"/>
      <c r="E10" s="205">
        <v>31</v>
      </c>
      <c r="F10" s="233"/>
      <c r="G10" s="205">
        <v>31</v>
      </c>
      <c r="H10" s="232" t="s">
        <v>184</v>
      </c>
      <c r="I10" s="205">
        <v>1</v>
      </c>
      <c r="J10" s="233">
        <v>0</v>
      </c>
      <c r="K10" s="205">
        <v>31</v>
      </c>
      <c r="L10" s="233">
        <v>0</v>
      </c>
      <c r="M10" s="205">
        <v>1</v>
      </c>
      <c r="N10" s="233">
        <f>600+100+200+400+300</f>
        <v>1600</v>
      </c>
      <c r="O10" s="205">
        <v>31</v>
      </c>
      <c r="P10" s="233">
        <v>0</v>
      </c>
      <c r="Q10" s="205">
        <v>31</v>
      </c>
      <c r="R10" s="233">
        <v>500</v>
      </c>
      <c r="S10" s="205">
        <v>31</v>
      </c>
      <c r="T10" s="233"/>
      <c r="U10" s="205">
        <v>3</v>
      </c>
      <c r="V10" s="233"/>
      <c r="W10" s="205">
        <v>1</v>
      </c>
      <c r="X10" s="233"/>
    </row>
    <row r="11" spans="1:24" ht="15" customHeight="1">
      <c r="A11" s="205">
        <v>1</v>
      </c>
      <c r="B11" s="233"/>
      <c r="C11" s="205">
        <v>2</v>
      </c>
      <c r="D11" s="233"/>
      <c r="E11" s="205">
        <v>1</v>
      </c>
      <c r="F11" s="233"/>
      <c r="G11" s="205">
        <v>1</v>
      </c>
      <c r="H11" s="233">
        <v>150</v>
      </c>
      <c r="I11" s="205">
        <v>2</v>
      </c>
      <c r="J11" s="233">
        <v>0</v>
      </c>
      <c r="K11" s="205">
        <v>1</v>
      </c>
      <c r="L11" s="232" t="s">
        <v>184</v>
      </c>
      <c r="M11" s="205">
        <v>2</v>
      </c>
      <c r="N11" s="233">
        <f>400+300+200</f>
        <v>900</v>
      </c>
      <c r="O11" s="205">
        <v>1</v>
      </c>
      <c r="P11" s="233">
        <v>500</v>
      </c>
      <c r="Q11" s="205">
        <v>1</v>
      </c>
      <c r="R11" s="232" t="s">
        <v>184</v>
      </c>
      <c r="S11" s="205">
        <v>1</v>
      </c>
      <c r="T11" s="233"/>
      <c r="U11" s="205">
        <v>4</v>
      </c>
      <c r="V11" s="233">
        <f>300+200</f>
        <v>500</v>
      </c>
      <c r="W11" s="205">
        <v>2</v>
      </c>
      <c r="X11" s="233"/>
    </row>
    <row r="12" spans="1:24" ht="15" customHeight="1">
      <c r="A12" s="205">
        <v>2</v>
      </c>
      <c r="B12" s="233"/>
      <c r="C12" s="205">
        <v>3</v>
      </c>
      <c r="D12" s="233"/>
      <c r="E12" s="205">
        <v>2</v>
      </c>
      <c r="F12" s="232"/>
      <c r="G12" s="205">
        <v>2</v>
      </c>
      <c r="H12" s="233">
        <f>500+500+200</f>
        <v>1200</v>
      </c>
      <c r="I12" s="205">
        <v>3</v>
      </c>
      <c r="J12" s="233">
        <v>0</v>
      </c>
      <c r="K12" s="205">
        <v>2</v>
      </c>
      <c r="L12" s="233">
        <f>400+200</f>
        <v>600</v>
      </c>
      <c r="M12" s="205">
        <v>3</v>
      </c>
      <c r="N12" s="233">
        <v>500</v>
      </c>
      <c r="O12" s="205">
        <v>2</v>
      </c>
      <c r="P12" s="233">
        <v>0</v>
      </c>
      <c r="Q12" s="205">
        <v>2</v>
      </c>
      <c r="R12" s="233">
        <v>0</v>
      </c>
      <c r="S12" s="205">
        <v>2</v>
      </c>
      <c r="T12" s="233">
        <v>400</v>
      </c>
      <c r="U12" s="205">
        <v>5</v>
      </c>
      <c r="V12" s="233"/>
      <c r="W12" s="205">
        <v>3</v>
      </c>
      <c r="X12" s="233"/>
    </row>
    <row r="13" spans="1:24" ht="15" customHeight="1">
      <c r="A13" s="205">
        <v>3</v>
      </c>
      <c r="B13" s="233"/>
      <c r="C13" s="205">
        <v>4</v>
      </c>
      <c r="D13" s="233"/>
      <c r="E13" s="205">
        <v>3</v>
      </c>
      <c r="F13" s="233"/>
      <c r="G13" s="205">
        <v>3</v>
      </c>
      <c r="H13" s="233">
        <f>350</f>
        <v>350</v>
      </c>
      <c r="I13" s="205">
        <v>4</v>
      </c>
      <c r="J13" s="233">
        <f>100+300</f>
        <v>400</v>
      </c>
      <c r="K13" s="205">
        <v>3</v>
      </c>
      <c r="L13" s="233">
        <f>300+300</f>
        <v>600</v>
      </c>
      <c r="M13" s="205">
        <v>4</v>
      </c>
      <c r="N13" s="233">
        <f>200+200+150</f>
        <v>550</v>
      </c>
      <c r="O13" s="205">
        <v>3</v>
      </c>
      <c r="P13" s="232" t="s">
        <v>184</v>
      </c>
      <c r="Q13" s="205">
        <v>3</v>
      </c>
      <c r="R13" s="233">
        <v>800</v>
      </c>
      <c r="S13" s="205">
        <v>3</v>
      </c>
      <c r="T13" s="233">
        <f>450+400+1000</f>
        <v>1850</v>
      </c>
      <c r="U13" s="205">
        <v>6</v>
      </c>
      <c r="V13" s="233"/>
      <c r="W13" s="205">
        <v>4</v>
      </c>
      <c r="X13" s="233"/>
    </row>
    <row r="14" spans="1:24" ht="15" customHeight="1">
      <c r="A14" s="205">
        <v>4</v>
      </c>
      <c r="B14" s="233"/>
      <c r="C14" s="205">
        <v>5</v>
      </c>
      <c r="D14" s="233"/>
      <c r="E14" s="205">
        <v>4</v>
      </c>
      <c r="F14" s="233"/>
      <c r="G14" s="205">
        <v>4</v>
      </c>
      <c r="H14" s="233">
        <v>500</v>
      </c>
      <c r="I14" s="205">
        <v>5</v>
      </c>
      <c r="J14" s="232" t="s">
        <v>184</v>
      </c>
      <c r="K14" s="205">
        <v>4</v>
      </c>
      <c r="L14" s="233">
        <f>500+500</f>
        <v>1000</v>
      </c>
      <c r="M14" s="205">
        <v>5</v>
      </c>
      <c r="N14" s="233">
        <f>200+200+400</f>
        <v>800</v>
      </c>
      <c r="O14" s="205">
        <v>4</v>
      </c>
      <c r="P14" s="233">
        <v>700</v>
      </c>
      <c r="Q14" s="205">
        <v>4</v>
      </c>
      <c r="R14" s="233">
        <v>350</v>
      </c>
      <c r="S14" s="205">
        <v>4</v>
      </c>
      <c r="T14" s="233">
        <v>500</v>
      </c>
      <c r="U14" s="205">
        <v>7</v>
      </c>
      <c r="V14" s="233"/>
      <c r="W14" s="205">
        <v>5</v>
      </c>
      <c r="X14" s="233"/>
    </row>
    <row r="15" spans="1:24" ht="15" customHeight="1">
      <c r="A15" s="205">
        <v>5</v>
      </c>
      <c r="B15" s="233"/>
      <c r="C15" s="205">
        <v>6</v>
      </c>
      <c r="D15" s="232"/>
      <c r="E15" s="205">
        <v>5</v>
      </c>
      <c r="F15" s="233"/>
      <c r="G15" s="205">
        <v>5</v>
      </c>
      <c r="H15" s="233">
        <f>100+450+300+800</f>
        <v>1650</v>
      </c>
      <c r="I15" s="205">
        <v>6</v>
      </c>
      <c r="J15" s="233">
        <v>0</v>
      </c>
      <c r="K15" s="205">
        <v>5</v>
      </c>
      <c r="L15" s="233">
        <f>400+500+200+500+200+300+200+400+600+200</f>
        <v>3500</v>
      </c>
      <c r="M15" s="205">
        <v>6</v>
      </c>
      <c r="N15" s="233">
        <v>200</v>
      </c>
      <c r="O15" s="205">
        <v>5</v>
      </c>
      <c r="P15" s="233">
        <v>0</v>
      </c>
      <c r="Q15" s="205">
        <v>5</v>
      </c>
      <c r="R15" s="233">
        <f>500+200+200+150+150+200+500+300+300+400</f>
        <v>2900</v>
      </c>
      <c r="S15" s="205">
        <v>5</v>
      </c>
      <c r="T15" s="232" t="s">
        <v>184</v>
      </c>
      <c r="U15" s="205">
        <v>8</v>
      </c>
      <c r="V15" s="233"/>
      <c r="W15" s="205">
        <v>6</v>
      </c>
      <c r="X15" s="232"/>
    </row>
    <row r="16" spans="1:24" ht="15" customHeight="1">
      <c r="A16" s="205">
        <v>6</v>
      </c>
      <c r="B16" s="233"/>
      <c r="C16" s="205">
        <v>7</v>
      </c>
      <c r="D16" s="233"/>
      <c r="E16" s="205">
        <v>6</v>
      </c>
      <c r="F16" s="233"/>
      <c r="G16" s="205">
        <v>6</v>
      </c>
      <c r="H16" s="233">
        <f>300+500+150+500</f>
        <v>1450</v>
      </c>
      <c r="I16" s="205">
        <v>7</v>
      </c>
      <c r="J16" s="233">
        <f>500</f>
        <v>500</v>
      </c>
      <c r="K16" s="205">
        <v>6</v>
      </c>
      <c r="L16" s="233">
        <f>300+250+300+400</f>
        <v>1250</v>
      </c>
      <c r="M16" s="205">
        <v>7</v>
      </c>
      <c r="N16" s="232" t="s">
        <v>184</v>
      </c>
      <c r="O16" s="205">
        <v>6</v>
      </c>
      <c r="P16" s="233">
        <v>0</v>
      </c>
      <c r="Q16" s="205">
        <v>6</v>
      </c>
      <c r="R16" s="233">
        <v>0</v>
      </c>
      <c r="S16" s="205">
        <v>6</v>
      </c>
      <c r="T16" s="233">
        <v>0</v>
      </c>
      <c r="U16" s="205">
        <v>9</v>
      </c>
      <c r="V16" s="233"/>
      <c r="W16" s="205">
        <v>7</v>
      </c>
      <c r="X16" s="233"/>
    </row>
    <row r="17" spans="1:24" ht="15" customHeight="1">
      <c r="A17" s="205">
        <v>7</v>
      </c>
      <c r="B17" s="233"/>
      <c r="C17" s="205">
        <v>8</v>
      </c>
      <c r="D17" s="233"/>
      <c r="E17" s="205">
        <v>7</v>
      </c>
      <c r="F17" s="233"/>
      <c r="G17" s="205">
        <v>7</v>
      </c>
      <c r="H17" s="232" t="s">
        <v>184</v>
      </c>
      <c r="I17" s="205">
        <v>8</v>
      </c>
      <c r="J17" s="233">
        <f>150</f>
        <v>150</v>
      </c>
      <c r="K17" s="205">
        <v>7</v>
      </c>
      <c r="L17" s="233">
        <v>0</v>
      </c>
      <c r="M17" s="205">
        <v>8</v>
      </c>
      <c r="N17" s="233">
        <f>400+1000</f>
        <v>1400</v>
      </c>
      <c r="O17" s="205">
        <v>7</v>
      </c>
      <c r="P17" s="233">
        <v>0</v>
      </c>
      <c r="Q17" s="205">
        <v>7</v>
      </c>
      <c r="R17" s="233">
        <v>200</v>
      </c>
      <c r="S17" s="205">
        <v>7</v>
      </c>
      <c r="T17" s="233">
        <f>500+150</f>
        <v>650</v>
      </c>
      <c r="U17" s="205">
        <v>10</v>
      </c>
      <c r="V17" s="233"/>
      <c r="W17" s="205">
        <v>8</v>
      </c>
      <c r="X17" s="233"/>
    </row>
    <row r="18" spans="1:24" ht="15" customHeight="1">
      <c r="A18" s="205">
        <v>8</v>
      </c>
      <c r="B18" s="232"/>
      <c r="C18" s="205">
        <v>9</v>
      </c>
      <c r="D18" s="233"/>
      <c r="E18" s="205">
        <v>8</v>
      </c>
      <c r="F18" s="233"/>
      <c r="G18" s="205">
        <v>8</v>
      </c>
      <c r="H18" s="233">
        <v>100</v>
      </c>
      <c r="I18" s="205">
        <v>9</v>
      </c>
      <c r="J18" s="233">
        <f>300</f>
        <v>300</v>
      </c>
      <c r="K18" s="205">
        <v>8</v>
      </c>
      <c r="L18" s="232" t="s">
        <v>184</v>
      </c>
      <c r="M18" s="205">
        <v>9</v>
      </c>
      <c r="N18" s="233">
        <v>0</v>
      </c>
      <c r="O18" s="205">
        <v>8</v>
      </c>
      <c r="P18" s="233">
        <v>0</v>
      </c>
      <c r="Q18" s="205">
        <v>8</v>
      </c>
      <c r="R18" s="232" t="s">
        <v>184</v>
      </c>
      <c r="S18" s="205">
        <v>8</v>
      </c>
      <c r="T18" s="233">
        <v>0</v>
      </c>
      <c r="U18" s="205">
        <v>11</v>
      </c>
      <c r="V18" s="233"/>
      <c r="W18" s="205">
        <v>9</v>
      </c>
      <c r="X18" s="233"/>
    </row>
    <row r="19" spans="1:24" ht="15" customHeight="1">
      <c r="A19" s="205">
        <v>9</v>
      </c>
      <c r="B19" s="233"/>
      <c r="C19" s="205">
        <v>10</v>
      </c>
      <c r="D19" s="233"/>
      <c r="E19" s="205">
        <v>9</v>
      </c>
      <c r="F19" s="232"/>
      <c r="G19" s="205">
        <v>9</v>
      </c>
      <c r="H19" s="233">
        <f>500+400</f>
        <v>900</v>
      </c>
      <c r="I19" s="205">
        <v>10</v>
      </c>
      <c r="J19" s="233">
        <f>200+300+500</f>
        <v>1000</v>
      </c>
      <c r="K19" s="205">
        <v>9</v>
      </c>
      <c r="L19" s="233">
        <v>0</v>
      </c>
      <c r="M19" s="205">
        <v>10</v>
      </c>
      <c r="N19" s="233">
        <v>0</v>
      </c>
      <c r="O19" s="205">
        <v>9</v>
      </c>
      <c r="P19" s="233">
        <v>0</v>
      </c>
      <c r="Q19" s="205">
        <v>9</v>
      </c>
      <c r="R19" s="233">
        <v>0</v>
      </c>
      <c r="S19" s="205">
        <v>9</v>
      </c>
      <c r="T19" s="233">
        <f>100+500+500+300+500+300+600</f>
        <v>2800</v>
      </c>
      <c r="U19" s="205">
        <v>12</v>
      </c>
      <c r="V19" s="233"/>
      <c r="W19" s="205">
        <v>10</v>
      </c>
      <c r="X19" s="233"/>
    </row>
    <row r="20" spans="1:24" ht="15" customHeight="1">
      <c r="A20" s="205">
        <v>10</v>
      </c>
      <c r="B20" s="233"/>
      <c r="C20" s="205">
        <v>11</v>
      </c>
      <c r="D20" s="233"/>
      <c r="E20" s="205">
        <v>10</v>
      </c>
      <c r="F20" s="233"/>
      <c r="G20" s="205">
        <v>10</v>
      </c>
      <c r="H20" s="233">
        <f>100</f>
        <v>100</v>
      </c>
      <c r="I20" s="205">
        <v>11</v>
      </c>
      <c r="J20" s="233">
        <f>500</f>
        <v>500</v>
      </c>
      <c r="K20" s="205">
        <v>10</v>
      </c>
      <c r="L20" s="233">
        <f>400+500</f>
        <v>900</v>
      </c>
      <c r="M20" s="205">
        <v>11</v>
      </c>
      <c r="N20" s="233">
        <f>500+250</f>
        <v>750</v>
      </c>
      <c r="O20" s="205">
        <v>10</v>
      </c>
      <c r="P20" s="232" t="s">
        <v>184</v>
      </c>
      <c r="Q20" s="205">
        <v>10</v>
      </c>
      <c r="R20" s="233">
        <f>500+200+400</f>
        <v>1100</v>
      </c>
      <c r="S20" s="205">
        <v>10</v>
      </c>
      <c r="T20" s="233">
        <f>500+300+300+100</f>
        <v>1200</v>
      </c>
      <c r="U20" s="205">
        <v>13</v>
      </c>
      <c r="V20" s="233"/>
      <c r="W20" s="205">
        <v>11</v>
      </c>
      <c r="X20" s="233"/>
    </row>
    <row r="21" spans="1:24" ht="15" customHeight="1">
      <c r="A21" s="205">
        <v>11</v>
      </c>
      <c r="B21" s="233"/>
      <c r="C21" s="205">
        <v>12</v>
      </c>
      <c r="D21" s="233"/>
      <c r="E21" s="205">
        <v>11</v>
      </c>
      <c r="F21" s="233"/>
      <c r="G21" s="205">
        <v>11</v>
      </c>
      <c r="H21" s="233">
        <v>0</v>
      </c>
      <c r="I21" s="205">
        <v>12</v>
      </c>
      <c r="J21" s="232" t="s">
        <v>184</v>
      </c>
      <c r="K21" s="205">
        <v>11</v>
      </c>
      <c r="L21" s="233">
        <v>0</v>
      </c>
      <c r="M21" s="205">
        <v>12</v>
      </c>
      <c r="N21" s="233">
        <f>200+300+200</f>
        <v>700</v>
      </c>
      <c r="O21" s="205">
        <v>11</v>
      </c>
      <c r="P21" s="233">
        <v>0</v>
      </c>
      <c r="Q21" s="205">
        <v>11</v>
      </c>
      <c r="R21" s="233">
        <v>1000</v>
      </c>
      <c r="S21" s="205">
        <v>11</v>
      </c>
      <c r="T21" s="233">
        <f>200+500</f>
        <v>700</v>
      </c>
      <c r="U21" s="205">
        <v>14</v>
      </c>
      <c r="V21" s="233"/>
      <c r="W21" s="205">
        <v>12</v>
      </c>
      <c r="X21" s="233"/>
    </row>
    <row r="22" spans="1:24" ht="15" customHeight="1">
      <c r="A22" s="205">
        <v>12</v>
      </c>
      <c r="B22" s="233"/>
      <c r="C22" s="205">
        <v>13</v>
      </c>
      <c r="D22" s="232"/>
      <c r="E22" s="205">
        <v>12</v>
      </c>
      <c r="F22" s="233"/>
      <c r="G22" s="205">
        <v>12</v>
      </c>
      <c r="H22" s="233">
        <v>600</v>
      </c>
      <c r="I22" s="205">
        <v>13</v>
      </c>
      <c r="J22" s="233">
        <f>100+500+500+200</f>
        <v>1300</v>
      </c>
      <c r="K22" s="205">
        <v>12</v>
      </c>
      <c r="L22" s="233">
        <f>100+500+1000+150</f>
        <v>1750</v>
      </c>
      <c r="M22" s="205">
        <v>13</v>
      </c>
      <c r="N22" s="233">
        <f>500</f>
        <v>500</v>
      </c>
      <c r="O22" s="205">
        <v>12</v>
      </c>
      <c r="P22" s="233">
        <v>0</v>
      </c>
      <c r="Q22" s="205">
        <v>12</v>
      </c>
      <c r="R22" s="233">
        <v>0</v>
      </c>
      <c r="S22" s="205">
        <v>12</v>
      </c>
      <c r="T22" s="232" t="s">
        <v>184</v>
      </c>
      <c r="U22" s="205">
        <v>15</v>
      </c>
      <c r="V22" s="233"/>
      <c r="W22" s="205">
        <v>13</v>
      </c>
      <c r="X22" s="232"/>
    </row>
    <row r="23" spans="1:24" ht="15" customHeight="1">
      <c r="A23" s="205">
        <v>13</v>
      </c>
      <c r="B23" s="233"/>
      <c r="C23" s="205">
        <v>14</v>
      </c>
      <c r="D23" s="233"/>
      <c r="E23" s="205">
        <v>13</v>
      </c>
      <c r="F23" s="233"/>
      <c r="G23" s="205">
        <v>13</v>
      </c>
      <c r="H23" s="233">
        <v>0</v>
      </c>
      <c r="I23" s="205">
        <v>14</v>
      </c>
      <c r="J23" s="233">
        <f>300+800</f>
        <v>1100</v>
      </c>
      <c r="K23" s="205">
        <v>13</v>
      </c>
      <c r="L23" s="233">
        <f>300+150+200</f>
        <v>650</v>
      </c>
      <c r="M23" s="205">
        <v>14</v>
      </c>
      <c r="N23" s="232" t="s">
        <v>184</v>
      </c>
      <c r="O23" s="205">
        <v>13</v>
      </c>
      <c r="P23" s="233">
        <v>0</v>
      </c>
      <c r="Q23" s="205">
        <v>13</v>
      </c>
      <c r="R23" s="233">
        <f>500+300+500+1000+200+300+200+150+1000+250+400+200+400+200+600+400+500+200+150</f>
        <v>7450</v>
      </c>
      <c r="S23" s="205">
        <v>13</v>
      </c>
      <c r="T23" s="233">
        <f>200+500+250+171+200</f>
        <v>1321</v>
      </c>
      <c r="U23" s="205">
        <v>16</v>
      </c>
      <c r="V23" s="233"/>
      <c r="W23" s="205">
        <v>14</v>
      </c>
      <c r="X23" s="233"/>
    </row>
    <row r="24" spans="1:24" ht="15" customHeight="1">
      <c r="A24" s="205">
        <v>14</v>
      </c>
      <c r="B24" s="233"/>
      <c r="C24" s="205">
        <v>15</v>
      </c>
      <c r="D24" s="233"/>
      <c r="E24" s="205">
        <v>14</v>
      </c>
      <c r="F24" s="233"/>
      <c r="G24" s="205">
        <v>14</v>
      </c>
      <c r="H24" s="232" t="s">
        <v>184</v>
      </c>
      <c r="I24" s="205">
        <v>15</v>
      </c>
      <c r="J24" s="233">
        <f>400+100+200</f>
        <v>700</v>
      </c>
      <c r="K24" s="205">
        <v>14</v>
      </c>
      <c r="L24" s="233">
        <f>200+300+400</f>
        <v>900</v>
      </c>
      <c r="M24" s="205">
        <v>15</v>
      </c>
      <c r="N24" s="233">
        <f>200+500+500+500+100+500+100</f>
        <v>2400</v>
      </c>
      <c r="O24" s="205">
        <v>14</v>
      </c>
      <c r="P24" s="233">
        <v>0</v>
      </c>
      <c r="Q24" s="205">
        <v>14</v>
      </c>
      <c r="R24" s="233">
        <v>8840</v>
      </c>
      <c r="S24" s="205">
        <v>14</v>
      </c>
      <c r="T24" s="233">
        <f>1000</f>
        <v>1000</v>
      </c>
      <c r="U24" s="205">
        <v>17</v>
      </c>
      <c r="V24" s="233"/>
      <c r="W24" s="205">
        <v>15</v>
      </c>
      <c r="X24" s="233"/>
    </row>
    <row r="25" spans="1:24" ht="15" customHeight="1">
      <c r="A25" s="205">
        <v>15</v>
      </c>
      <c r="B25" s="232"/>
      <c r="C25" s="205">
        <v>16</v>
      </c>
      <c r="D25" s="233"/>
      <c r="E25" s="205">
        <v>15</v>
      </c>
      <c r="F25" s="233"/>
      <c r="G25" s="205">
        <v>15</v>
      </c>
      <c r="H25" s="233">
        <v>0</v>
      </c>
      <c r="I25" s="205">
        <v>16</v>
      </c>
      <c r="J25" s="233">
        <f>500</f>
        <v>500</v>
      </c>
      <c r="K25" s="205">
        <v>15</v>
      </c>
      <c r="L25" s="232" t="s">
        <v>184</v>
      </c>
      <c r="M25" s="205">
        <v>16</v>
      </c>
      <c r="N25" s="233">
        <f>300+300</f>
        <v>600</v>
      </c>
      <c r="O25" s="205">
        <v>15</v>
      </c>
      <c r="P25" s="233">
        <v>0</v>
      </c>
      <c r="Q25" s="205">
        <v>15</v>
      </c>
      <c r="R25" s="232" t="s">
        <v>184</v>
      </c>
      <c r="S25" s="205">
        <v>15</v>
      </c>
      <c r="T25" s="233">
        <v>0</v>
      </c>
      <c r="U25" s="205">
        <v>18</v>
      </c>
      <c r="V25" s="233"/>
      <c r="W25" s="205">
        <v>16</v>
      </c>
      <c r="X25" s="233"/>
    </row>
    <row r="26" spans="1:24" ht="15" customHeight="1">
      <c r="A26" s="205">
        <v>16</v>
      </c>
      <c r="B26" s="233"/>
      <c r="C26" s="205">
        <v>17</v>
      </c>
      <c r="D26" s="233"/>
      <c r="E26" s="205">
        <v>16</v>
      </c>
      <c r="F26" s="232"/>
      <c r="G26" s="205">
        <v>16</v>
      </c>
      <c r="H26" s="233">
        <v>0</v>
      </c>
      <c r="I26" s="205">
        <v>17</v>
      </c>
      <c r="J26" s="233">
        <v>0</v>
      </c>
      <c r="K26" s="205">
        <v>16</v>
      </c>
      <c r="L26" s="233">
        <f>300+200+400</f>
        <v>900</v>
      </c>
      <c r="M26" s="205">
        <v>17</v>
      </c>
      <c r="N26" s="233">
        <f>200+500</f>
        <v>700</v>
      </c>
      <c r="O26" s="205">
        <v>16</v>
      </c>
      <c r="P26" s="233">
        <v>0</v>
      </c>
      <c r="Q26" s="205">
        <v>16</v>
      </c>
      <c r="R26" s="233">
        <f>504+1000+300+300+300+500+300+200+500+250+400+500</f>
        <v>5054</v>
      </c>
      <c r="S26" s="205">
        <v>16</v>
      </c>
      <c r="T26" s="233">
        <v>0</v>
      </c>
      <c r="U26" s="205">
        <v>19</v>
      </c>
      <c r="V26" s="233"/>
      <c r="W26" s="205">
        <v>17</v>
      </c>
      <c r="X26" s="233"/>
    </row>
    <row r="27" spans="1:24" ht="15" customHeight="1">
      <c r="A27" s="205">
        <v>17</v>
      </c>
      <c r="B27" s="233"/>
      <c r="C27" s="205">
        <v>18</v>
      </c>
      <c r="D27" s="233"/>
      <c r="E27" s="205">
        <v>17</v>
      </c>
      <c r="F27" s="233"/>
      <c r="G27" s="205">
        <v>17</v>
      </c>
      <c r="H27" s="233">
        <v>0</v>
      </c>
      <c r="I27" s="205">
        <v>18</v>
      </c>
      <c r="J27" s="233">
        <v>0</v>
      </c>
      <c r="K27" s="205">
        <v>17</v>
      </c>
      <c r="L27" s="233">
        <v>1000</v>
      </c>
      <c r="M27" s="205">
        <v>18</v>
      </c>
      <c r="N27" s="233">
        <v>0</v>
      </c>
      <c r="O27" s="205">
        <v>17</v>
      </c>
      <c r="P27" s="232" t="s">
        <v>184</v>
      </c>
      <c r="Q27" s="205">
        <v>17</v>
      </c>
      <c r="R27" s="233">
        <f>400+200+300+400+200+1000+300+250+500+500+100+400+200+200+300+500+600+500+100+100+200+1000+400+1000+500+400</f>
        <v>10550</v>
      </c>
      <c r="S27" s="205">
        <v>17</v>
      </c>
      <c r="T27" s="233">
        <f>500+1000+100</f>
        <v>1600</v>
      </c>
      <c r="U27" s="205">
        <v>20</v>
      </c>
      <c r="V27" s="233"/>
      <c r="W27" s="205">
        <v>18</v>
      </c>
      <c r="X27" s="233"/>
    </row>
    <row r="28" spans="1:24" ht="15" customHeight="1">
      <c r="A28" s="205">
        <v>18</v>
      </c>
      <c r="B28" s="233"/>
      <c r="C28" s="205">
        <v>19</v>
      </c>
      <c r="D28" s="233"/>
      <c r="E28" s="205">
        <v>18</v>
      </c>
      <c r="F28" s="233"/>
      <c r="G28" s="205">
        <v>18</v>
      </c>
      <c r="H28" s="233">
        <f>400+300</f>
        <v>700</v>
      </c>
      <c r="I28" s="205">
        <v>19</v>
      </c>
      <c r="J28" s="232" t="s">
        <v>184</v>
      </c>
      <c r="K28" s="205">
        <v>18</v>
      </c>
      <c r="L28" s="233">
        <f>600+400+500</f>
        <v>1500</v>
      </c>
      <c r="M28" s="205">
        <v>19</v>
      </c>
      <c r="N28" s="233">
        <f>300+600+600+400+300+100</f>
        <v>2300</v>
      </c>
      <c r="O28" s="205">
        <v>18</v>
      </c>
      <c r="P28" s="233">
        <v>0</v>
      </c>
      <c r="Q28" s="205">
        <v>18</v>
      </c>
      <c r="R28" s="233">
        <v>0</v>
      </c>
      <c r="S28" s="205">
        <v>18</v>
      </c>
      <c r="T28" s="233">
        <f>100+1200+200</f>
        <v>1500</v>
      </c>
      <c r="U28" s="205">
        <v>21</v>
      </c>
      <c r="V28" s="233"/>
      <c r="W28" s="205">
        <v>19</v>
      </c>
      <c r="X28" s="233"/>
    </row>
    <row r="29" spans="1:24" ht="15" customHeight="1">
      <c r="A29" s="205">
        <v>19</v>
      </c>
      <c r="B29" s="233"/>
      <c r="C29" s="205">
        <v>20</v>
      </c>
      <c r="D29" s="232"/>
      <c r="E29" s="205">
        <v>19</v>
      </c>
      <c r="F29" s="233"/>
      <c r="G29" s="205">
        <v>19</v>
      </c>
      <c r="H29" s="233">
        <f>300+300+100+200</f>
        <v>900</v>
      </c>
      <c r="I29" s="205">
        <v>20</v>
      </c>
      <c r="J29" s="233">
        <f>300</f>
        <v>300</v>
      </c>
      <c r="K29" s="205">
        <v>19</v>
      </c>
      <c r="L29" s="233">
        <v>700</v>
      </c>
      <c r="M29" s="205">
        <v>20</v>
      </c>
      <c r="N29" s="233">
        <f>100+300+400</f>
        <v>800</v>
      </c>
      <c r="O29" s="205">
        <v>19</v>
      </c>
      <c r="P29" s="233">
        <v>0</v>
      </c>
      <c r="Q29" s="205">
        <v>19</v>
      </c>
      <c r="R29" s="233">
        <f>500+300+400+200+250+300+150+300+400+300</f>
        <v>3100</v>
      </c>
      <c r="S29" s="205">
        <v>19</v>
      </c>
      <c r="T29" s="232" t="s">
        <v>184</v>
      </c>
      <c r="U29" s="205">
        <v>22</v>
      </c>
      <c r="V29" s="233"/>
      <c r="W29" s="205">
        <v>20</v>
      </c>
      <c r="X29" s="232"/>
    </row>
    <row r="30" spans="1:24" ht="15" customHeight="1">
      <c r="A30" s="205">
        <v>20</v>
      </c>
      <c r="B30" s="233"/>
      <c r="C30" s="205">
        <v>21</v>
      </c>
      <c r="D30" s="233"/>
      <c r="E30" s="205">
        <v>20</v>
      </c>
      <c r="F30" s="233"/>
      <c r="G30" s="205">
        <v>20</v>
      </c>
      <c r="H30" s="233">
        <f>300</f>
        <v>300</v>
      </c>
      <c r="I30" s="205">
        <v>21</v>
      </c>
      <c r="J30" s="233">
        <v>0</v>
      </c>
      <c r="K30" s="205">
        <v>20</v>
      </c>
      <c r="L30" s="233">
        <f>300+600+500</f>
        <v>1400</v>
      </c>
      <c r="M30" s="205">
        <v>21</v>
      </c>
      <c r="N30" s="232" t="s">
        <v>184</v>
      </c>
      <c r="O30" s="205">
        <v>20</v>
      </c>
      <c r="P30" s="233">
        <v>0</v>
      </c>
      <c r="Q30" s="205">
        <v>20</v>
      </c>
      <c r="R30" s="233">
        <f>300+500+150+200+100+500+300+250+900+300+1000+1000+200+150+1000+400+200+200+400+500+300+200+400</f>
        <v>9450</v>
      </c>
      <c r="S30" s="205">
        <v>20</v>
      </c>
      <c r="T30" s="233"/>
      <c r="U30" s="205">
        <v>23</v>
      </c>
      <c r="V30" s="233"/>
      <c r="W30" s="205">
        <v>21</v>
      </c>
      <c r="X30" s="233"/>
    </row>
    <row r="31" spans="1:24" ht="15" customHeight="1">
      <c r="A31" s="205">
        <v>21</v>
      </c>
      <c r="B31" s="233"/>
      <c r="C31" s="205">
        <v>22</v>
      </c>
      <c r="D31" s="233"/>
      <c r="E31" s="205">
        <v>21</v>
      </c>
      <c r="F31" s="233"/>
      <c r="G31" s="205">
        <v>21</v>
      </c>
      <c r="H31" s="232" t="s">
        <v>184</v>
      </c>
      <c r="I31" s="205">
        <v>22</v>
      </c>
      <c r="J31" s="233">
        <f>400+200+200</f>
        <v>800</v>
      </c>
      <c r="K31" s="205">
        <v>21</v>
      </c>
      <c r="L31" s="233">
        <f>1000+200</f>
        <v>1200</v>
      </c>
      <c r="M31" s="205">
        <v>22</v>
      </c>
      <c r="N31" s="233">
        <v>0</v>
      </c>
      <c r="O31" s="205">
        <v>21</v>
      </c>
      <c r="P31" s="233">
        <v>0</v>
      </c>
      <c r="Q31" s="205">
        <v>21</v>
      </c>
      <c r="R31" s="233">
        <f>1000+700+500+500+500+400+200+300+200+300+60+500+500+500+200+1000+500+500+200+400+150</f>
        <v>9110</v>
      </c>
      <c r="S31" s="205">
        <v>21</v>
      </c>
      <c r="T31" s="233">
        <f>300</f>
        <v>300</v>
      </c>
      <c r="U31" s="205">
        <v>24</v>
      </c>
      <c r="V31" s="233"/>
      <c r="W31" s="205">
        <v>22</v>
      </c>
      <c r="X31" s="233"/>
    </row>
    <row r="32" spans="1:24" ht="15" customHeight="1">
      <c r="A32" s="205">
        <v>22</v>
      </c>
      <c r="B32" s="232"/>
      <c r="C32" s="205">
        <v>23</v>
      </c>
      <c r="D32" s="233"/>
      <c r="E32" s="205">
        <v>22</v>
      </c>
      <c r="F32" s="233"/>
      <c r="G32" s="205">
        <v>22</v>
      </c>
      <c r="H32" s="233">
        <f>500+300+200</f>
        <v>1000</v>
      </c>
      <c r="I32" s="205">
        <v>23</v>
      </c>
      <c r="J32" s="233">
        <f>500+100+200+150</f>
        <v>950</v>
      </c>
      <c r="K32" s="205">
        <v>22</v>
      </c>
      <c r="L32" s="232" t="s">
        <v>184</v>
      </c>
      <c r="M32" s="205">
        <v>23</v>
      </c>
      <c r="N32" s="233">
        <v>600</v>
      </c>
      <c r="O32" s="205">
        <v>22</v>
      </c>
      <c r="P32" s="233">
        <v>0</v>
      </c>
      <c r="Q32" s="205">
        <v>22</v>
      </c>
      <c r="R32" s="232" t="s">
        <v>184</v>
      </c>
      <c r="S32" s="205">
        <v>22</v>
      </c>
      <c r="T32" s="233">
        <v>0</v>
      </c>
      <c r="V32" s="233"/>
      <c r="W32" s="205">
        <v>23</v>
      </c>
      <c r="X32" s="233"/>
    </row>
    <row r="33" spans="1:24" ht="15" customHeight="1">
      <c r="A33" s="205">
        <v>23</v>
      </c>
      <c r="B33" s="233"/>
      <c r="C33" s="205">
        <v>24</v>
      </c>
      <c r="D33" s="233"/>
      <c r="E33" s="205">
        <v>23</v>
      </c>
      <c r="F33" s="232"/>
      <c r="G33" s="205">
        <v>23</v>
      </c>
      <c r="H33" s="233">
        <f>300</f>
        <v>300</v>
      </c>
      <c r="I33" s="205">
        <v>24</v>
      </c>
      <c r="J33" s="233">
        <f>500+200+500</f>
        <v>1200</v>
      </c>
      <c r="K33" s="205">
        <v>23</v>
      </c>
      <c r="L33" s="233">
        <v>0</v>
      </c>
      <c r="M33" s="205">
        <v>24</v>
      </c>
      <c r="N33" s="233">
        <v>500</v>
      </c>
      <c r="O33" s="205">
        <v>23</v>
      </c>
      <c r="P33" s="233">
        <v>0</v>
      </c>
      <c r="Q33" s="205">
        <v>23</v>
      </c>
      <c r="R33" s="233">
        <f>200+600+1000+300+450+200+400+300+1000+500+800+400+500+200+150+300+500+100+500+300+100+500+1000+200+500+200+200+400+300</f>
        <v>12100</v>
      </c>
      <c r="S33" s="205">
        <v>23</v>
      </c>
      <c r="T33" s="233">
        <v>200</v>
      </c>
      <c r="V33" s="233"/>
      <c r="W33" s="205">
        <v>24</v>
      </c>
      <c r="X33" s="233"/>
    </row>
    <row r="34" spans="1:24" ht="15" customHeight="1">
      <c r="A34" s="234">
        <v>24</v>
      </c>
      <c r="B34" s="235"/>
      <c r="C34" s="234"/>
      <c r="D34" s="235"/>
      <c r="E34" s="205">
        <v>24</v>
      </c>
      <c r="F34" s="236"/>
      <c r="G34" s="234">
        <v>24</v>
      </c>
      <c r="H34" s="235">
        <f>200</f>
        <v>200</v>
      </c>
      <c r="I34" s="234"/>
      <c r="J34" s="235">
        <f>200</f>
        <v>200</v>
      </c>
      <c r="K34" s="234">
        <v>24</v>
      </c>
      <c r="L34" s="236"/>
      <c r="M34" s="234"/>
      <c r="N34" s="235">
        <f>200+300</f>
        <v>500</v>
      </c>
      <c r="O34" s="234">
        <v>24</v>
      </c>
      <c r="P34" s="235"/>
      <c r="Q34" s="234">
        <v>24</v>
      </c>
      <c r="R34" s="235"/>
      <c r="S34" s="234">
        <v>24</v>
      </c>
      <c r="T34" s="235"/>
      <c r="U34" s="236"/>
      <c r="V34" s="235"/>
      <c r="W34" s="234">
        <v>24</v>
      </c>
      <c r="X34" s="235"/>
    </row>
    <row r="35" spans="1:24" ht="15" customHeight="1">
      <c r="B35" s="237">
        <f>SUM(B4:B34)</f>
        <v>0</v>
      </c>
      <c r="D35" s="237">
        <f>SUM(D4:D34)</f>
        <v>0</v>
      </c>
      <c r="F35" s="237">
        <f>SUM(F4:F34)</f>
        <v>0</v>
      </c>
      <c r="H35" s="237">
        <f>SUM(H4:H34)</f>
        <v>11940</v>
      </c>
      <c r="J35" s="237">
        <f>SUM(J4:J34)</f>
        <v>12750</v>
      </c>
      <c r="L35" s="237">
        <f>SUM(L4:L34)</f>
        <v>21250</v>
      </c>
      <c r="N35" s="237">
        <f>SUM(N4:N34)</f>
        <v>18850</v>
      </c>
      <c r="P35" s="237">
        <f>SUM(P4:P34)</f>
        <v>5547.95</v>
      </c>
      <c r="R35" s="237">
        <f>SUM(R4:R34)</f>
        <v>73104</v>
      </c>
      <c r="T35" s="237">
        <f>SUM(T4:T34)</f>
        <v>14021</v>
      </c>
      <c r="V35" s="237">
        <f>SUM(V4:V34)</f>
        <v>2000</v>
      </c>
      <c r="X35" s="237">
        <f>SUM(X4:X34)</f>
        <v>200</v>
      </c>
    </row>
  </sheetData>
  <mergeCells count="15">
    <mergeCell ref="S3:T3"/>
    <mergeCell ref="U3:V3"/>
    <mergeCell ref="W3:X3"/>
    <mergeCell ref="A1:X1"/>
    <mergeCell ref="A2:L2"/>
    <mergeCell ref="M2:X2"/>
    <mergeCell ref="A3:B3"/>
    <mergeCell ref="C3:D3"/>
    <mergeCell ref="E3:F3"/>
    <mergeCell ref="G3:H3"/>
    <mergeCell ref="I3:J3"/>
    <mergeCell ref="K3:L3"/>
    <mergeCell ref="M3:N3"/>
    <mergeCell ref="O3:P3"/>
    <mergeCell ref="Q3:R3"/>
  </mergeCells>
  <conditionalFormatting sqref="A4:X34">
    <cfRule type="cellIs" dxfId="23" priority="1" operator="equal">
      <formula>"dom"</formula>
    </cfRule>
  </conditionalFormatting>
  <printOptions horizontalCentered="1" gridLines="1"/>
  <pageMargins left="0.25" right="0.25" top="0.75" bottom="0.75" header="0" footer="0"/>
  <pageSetup paperSize="9" fitToWidth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K906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5703125" defaultRowHeight="15.75" customHeight="1"/>
  <cols>
    <col min="1" max="1" width="17" customWidth="1"/>
    <col min="2" max="2" width="32.140625" customWidth="1"/>
    <col min="3" max="3" width="28" customWidth="1"/>
    <col min="4" max="4" width="10.42578125" customWidth="1"/>
    <col min="5" max="5" width="13.42578125" customWidth="1"/>
    <col min="6" max="6" width="16.140625" customWidth="1"/>
    <col min="7" max="7" width="15.5703125" customWidth="1"/>
    <col min="8" max="8" width="17.140625" customWidth="1"/>
    <col min="9" max="9" width="15.5703125" customWidth="1"/>
    <col min="10" max="10" width="14.85546875" customWidth="1"/>
  </cols>
  <sheetData>
    <row r="1" spans="1:11" ht="18">
      <c r="A1" s="491" t="s">
        <v>185</v>
      </c>
      <c r="B1" s="456"/>
      <c r="C1" s="456"/>
      <c r="D1" s="456"/>
      <c r="E1" s="456"/>
      <c r="F1" s="456"/>
      <c r="G1" s="456"/>
      <c r="H1" s="456"/>
      <c r="I1" s="456"/>
      <c r="J1" s="456"/>
      <c r="K1" s="238"/>
    </row>
    <row r="2" spans="1:11" ht="15.75" customHeight="1">
      <c r="A2" s="239"/>
      <c r="B2" s="239"/>
      <c r="C2" s="239"/>
      <c r="D2" s="239"/>
      <c r="E2" s="239"/>
      <c r="F2" s="240"/>
      <c r="G2" s="240"/>
      <c r="H2" s="240"/>
      <c r="I2" s="241"/>
      <c r="J2" s="241"/>
      <c r="K2" s="238"/>
    </row>
    <row r="3" spans="1:11" ht="15.75" customHeight="1">
      <c r="A3" s="242" t="s">
        <v>156</v>
      </c>
      <c r="B3" s="242" t="s">
        <v>67</v>
      </c>
      <c r="C3" s="242" t="s">
        <v>157</v>
      </c>
      <c r="D3" s="242" t="s">
        <v>158</v>
      </c>
      <c r="E3" s="242" t="s">
        <v>159</v>
      </c>
      <c r="F3" s="243" t="s">
        <v>56</v>
      </c>
      <c r="G3" s="243" t="s">
        <v>160</v>
      </c>
      <c r="H3" s="243" t="s">
        <v>161</v>
      </c>
      <c r="I3" s="243" t="s">
        <v>162</v>
      </c>
      <c r="J3" s="244" t="s">
        <v>163</v>
      </c>
      <c r="K3" s="238"/>
    </row>
    <row r="4" spans="1:11" ht="15.75" customHeight="1">
      <c r="A4" s="217"/>
      <c r="B4" s="218"/>
      <c r="C4" s="218"/>
      <c r="D4" s="218"/>
      <c r="E4" s="218"/>
      <c r="F4" s="245">
        <f t="shared" ref="F4:J4" si="0">SUM(F5:F906)</f>
        <v>140578.54699999999</v>
      </c>
      <c r="G4" s="245">
        <f t="shared" si="0"/>
        <v>0</v>
      </c>
      <c r="H4" s="245">
        <f t="shared" si="0"/>
        <v>12059.840000000002</v>
      </c>
      <c r="I4" s="246">
        <f t="shared" si="0"/>
        <v>27468.5</v>
      </c>
      <c r="J4" s="247">
        <f t="shared" si="0"/>
        <v>180106.88699999999</v>
      </c>
      <c r="K4" s="115" t="s">
        <v>186</v>
      </c>
    </row>
    <row r="5" spans="1:11" ht="15">
      <c r="A5" s="248">
        <v>44677</v>
      </c>
      <c r="B5" s="249" t="s">
        <v>187</v>
      </c>
      <c r="C5" s="249" t="s">
        <v>188</v>
      </c>
      <c r="D5" s="218"/>
      <c r="E5" s="249"/>
      <c r="F5" s="193"/>
      <c r="G5" s="250"/>
      <c r="H5" s="193"/>
      <c r="I5" s="193">
        <v>750</v>
      </c>
      <c r="J5" s="193">
        <f t="shared" ref="J5:J259" si="1">SUM(F5:I5)</f>
        <v>750</v>
      </c>
      <c r="K5" s="251"/>
    </row>
    <row r="6" spans="1:11" ht="15">
      <c r="A6" s="248">
        <v>44677</v>
      </c>
      <c r="B6" s="249" t="s">
        <v>189</v>
      </c>
      <c r="C6" s="249" t="s">
        <v>190</v>
      </c>
      <c r="D6" s="218"/>
      <c r="E6" s="249"/>
      <c r="F6" s="193"/>
      <c r="G6" s="250"/>
      <c r="H6" s="193"/>
      <c r="I6" s="193">
        <v>1460</v>
      </c>
      <c r="J6" s="193">
        <f t="shared" si="1"/>
        <v>1460</v>
      </c>
      <c r="K6" s="251"/>
    </row>
    <row r="7" spans="1:11" ht="15">
      <c r="A7" s="252">
        <v>44677</v>
      </c>
      <c r="B7" s="253" t="s">
        <v>191</v>
      </c>
      <c r="C7" s="253" t="s">
        <v>192</v>
      </c>
      <c r="D7" s="230" t="s">
        <v>170</v>
      </c>
      <c r="E7" s="253">
        <v>180954</v>
      </c>
      <c r="F7" s="254"/>
      <c r="G7" s="255"/>
      <c r="H7" s="254"/>
      <c r="I7" s="254">
        <v>500</v>
      </c>
      <c r="J7" s="254">
        <f t="shared" si="1"/>
        <v>500</v>
      </c>
      <c r="K7" s="256"/>
    </row>
    <row r="8" spans="1:11" ht="15">
      <c r="A8" s="248">
        <v>44677</v>
      </c>
      <c r="B8" s="249" t="s">
        <v>193</v>
      </c>
      <c r="C8" s="249" t="s">
        <v>194</v>
      </c>
      <c r="D8" s="218" t="s">
        <v>170</v>
      </c>
      <c r="E8" s="249">
        <v>180955</v>
      </c>
      <c r="F8" s="193"/>
      <c r="G8" s="250"/>
      <c r="H8" s="193"/>
      <c r="I8" s="193">
        <v>190</v>
      </c>
      <c r="J8" s="193">
        <f t="shared" si="1"/>
        <v>190</v>
      </c>
      <c r="K8" s="251"/>
    </row>
    <row r="9" spans="1:11" ht="15">
      <c r="A9" s="248">
        <v>44678</v>
      </c>
      <c r="B9" s="249" t="s">
        <v>195</v>
      </c>
      <c r="C9" s="249" t="s">
        <v>196</v>
      </c>
      <c r="D9" s="218"/>
      <c r="E9" s="249"/>
      <c r="F9" s="193"/>
      <c r="G9" s="250"/>
      <c r="H9" s="193"/>
      <c r="I9" s="193">
        <v>1450</v>
      </c>
      <c r="J9" s="193">
        <f t="shared" si="1"/>
        <v>1450</v>
      </c>
      <c r="K9" s="251"/>
    </row>
    <row r="10" spans="1:11" ht="15">
      <c r="A10" s="248">
        <v>44679</v>
      </c>
      <c r="B10" s="249" t="s">
        <v>197</v>
      </c>
      <c r="C10" s="249" t="s">
        <v>198</v>
      </c>
      <c r="D10" s="218" t="s">
        <v>166</v>
      </c>
      <c r="E10" s="249" t="s">
        <v>199</v>
      </c>
      <c r="F10" s="193"/>
      <c r="G10" s="250"/>
      <c r="H10" s="193"/>
      <c r="I10" s="193">
        <v>1300</v>
      </c>
      <c r="J10" s="193">
        <f t="shared" si="1"/>
        <v>1300</v>
      </c>
      <c r="K10" s="251"/>
    </row>
    <row r="11" spans="1:11" ht="15">
      <c r="A11" s="248">
        <v>44679</v>
      </c>
      <c r="B11" s="249" t="s">
        <v>200</v>
      </c>
      <c r="C11" s="249" t="s">
        <v>201</v>
      </c>
      <c r="D11" s="218" t="s">
        <v>173</v>
      </c>
      <c r="E11" s="257">
        <v>31168</v>
      </c>
      <c r="F11" s="193"/>
      <c r="G11" s="250"/>
      <c r="H11" s="193"/>
      <c r="I11" s="193">
        <v>670</v>
      </c>
      <c r="J11" s="193">
        <f t="shared" si="1"/>
        <v>670</v>
      </c>
      <c r="K11" s="251"/>
    </row>
    <row r="12" spans="1:11" ht="15">
      <c r="A12" s="248">
        <v>44680</v>
      </c>
      <c r="B12" s="249" t="s">
        <v>202</v>
      </c>
      <c r="C12" s="249" t="s">
        <v>203</v>
      </c>
      <c r="D12" s="249" t="s">
        <v>170</v>
      </c>
      <c r="E12" s="249">
        <v>57177</v>
      </c>
      <c r="F12" s="193">
        <v>17295.22</v>
      </c>
      <c r="G12" s="258">
        <v>0</v>
      </c>
      <c r="H12" s="259"/>
      <c r="I12" s="193"/>
      <c r="J12" s="193">
        <f t="shared" si="1"/>
        <v>17295.22</v>
      </c>
      <c r="K12" s="251"/>
    </row>
    <row r="13" spans="1:11" ht="15">
      <c r="A13" s="217">
        <v>44681</v>
      </c>
      <c r="B13" s="218" t="s">
        <v>200</v>
      </c>
      <c r="C13" s="218" t="s">
        <v>204</v>
      </c>
      <c r="D13" s="218"/>
      <c r="E13" s="218"/>
      <c r="F13" s="260">
        <f>700-I13</f>
        <v>501.5</v>
      </c>
      <c r="G13" s="250"/>
      <c r="H13" s="193"/>
      <c r="I13" s="261">
        <v>198.5</v>
      </c>
      <c r="J13" s="193">
        <f t="shared" si="1"/>
        <v>700</v>
      </c>
      <c r="K13" s="251" t="s">
        <v>205</v>
      </c>
    </row>
    <row r="14" spans="1:11" ht="15">
      <c r="A14" s="248">
        <v>44681</v>
      </c>
      <c r="B14" s="218" t="s">
        <v>206</v>
      </c>
      <c r="C14" s="218" t="s">
        <v>207</v>
      </c>
      <c r="D14" s="218"/>
      <c r="E14" s="218"/>
      <c r="F14" s="260">
        <v>1530</v>
      </c>
      <c r="G14" s="250"/>
      <c r="H14" s="193"/>
      <c r="I14" s="261"/>
      <c r="J14" s="193">
        <f t="shared" si="1"/>
        <v>1530</v>
      </c>
    </row>
    <row r="15" spans="1:11" ht="15">
      <c r="A15" s="217">
        <v>44686</v>
      </c>
      <c r="B15" s="218" t="s">
        <v>208</v>
      </c>
      <c r="C15" s="218" t="s">
        <v>209</v>
      </c>
      <c r="D15" s="218" t="s">
        <v>170</v>
      </c>
      <c r="E15" s="218" t="s">
        <v>210</v>
      </c>
      <c r="F15" s="260">
        <v>400</v>
      </c>
      <c r="G15" s="224"/>
      <c r="H15" s="260"/>
      <c r="I15" s="193"/>
      <c r="J15" s="193">
        <f t="shared" si="1"/>
        <v>400</v>
      </c>
    </row>
    <row r="16" spans="1:11" ht="15">
      <c r="A16" s="217">
        <v>44686</v>
      </c>
      <c r="B16" s="218" t="s">
        <v>211</v>
      </c>
      <c r="C16" s="218" t="s">
        <v>212</v>
      </c>
      <c r="D16" s="218" t="s">
        <v>170</v>
      </c>
      <c r="E16" s="218">
        <v>190526</v>
      </c>
      <c r="F16" s="260">
        <v>40</v>
      </c>
      <c r="G16" s="224"/>
      <c r="H16" s="260"/>
      <c r="I16" s="193"/>
      <c r="J16" s="193">
        <f t="shared" si="1"/>
        <v>40</v>
      </c>
    </row>
    <row r="17" spans="1:11" ht="15">
      <c r="A17" s="217">
        <v>44686</v>
      </c>
      <c r="B17" s="218" t="s">
        <v>213</v>
      </c>
      <c r="C17" s="218" t="s">
        <v>194</v>
      </c>
      <c r="D17" s="218" t="s">
        <v>170</v>
      </c>
      <c r="E17" s="218">
        <v>40679</v>
      </c>
      <c r="F17" s="260">
        <v>1290</v>
      </c>
      <c r="G17" s="224"/>
      <c r="H17" s="260"/>
      <c r="I17" s="193"/>
      <c r="J17" s="193">
        <f t="shared" si="1"/>
        <v>1290</v>
      </c>
    </row>
    <row r="18" spans="1:11" ht="15">
      <c r="A18" s="217">
        <v>44687</v>
      </c>
      <c r="B18" s="218" t="s">
        <v>214</v>
      </c>
      <c r="C18" s="218" t="s">
        <v>194</v>
      </c>
      <c r="D18" s="218" t="s">
        <v>177</v>
      </c>
      <c r="E18" s="218">
        <v>40745</v>
      </c>
      <c r="F18" s="260">
        <v>750</v>
      </c>
      <c r="G18" s="224"/>
      <c r="H18" s="260"/>
      <c r="I18" s="193"/>
      <c r="J18" s="193">
        <f t="shared" si="1"/>
        <v>750</v>
      </c>
    </row>
    <row r="19" spans="1:11" ht="15">
      <c r="A19" s="217">
        <v>44688</v>
      </c>
      <c r="B19" s="218" t="s">
        <v>211</v>
      </c>
      <c r="C19" s="218" t="s">
        <v>212</v>
      </c>
      <c r="D19" s="218" t="s">
        <v>170</v>
      </c>
      <c r="E19" s="218" t="s">
        <v>215</v>
      </c>
      <c r="F19" s="260">
        <v>775</v>
      </c>
      <c r="G19" s="224"/>
      <c r="H19" s="260"/>
      <c r="I19" s="193"/>
      <c r="J19" s="193">
        <f t="shared" si="1"/>
        <v>775</v>
      </c>
    </row>
    <row r="20" spans="1:11" ht="15">
      <c r="A20" s="217">
        <v>44695</v>
      </c>
      <c r="B20" s="218" t="s">
        <v>216</v>
      </c>
      <c r="C20" s="218" t="s">
        <v>217</v>
      </c>
      <c r="D20" s="218" t="s">
        <v>170</v>
      </c>
      <c r="E20" s="218" t="s">
        <v>218</v>
      </c>
      <c r="F20" s="260">
        <v>545.20000000000005</v>
      </c>
      <c r="G20" s="224"/>
      <c r="H20" s="260"/>
      <c r="I20" s="193"/>
      <c r="J20" s="193">
        <f t="shared" si="1"/>
        <v>545.20000000000005</v>
      </c>
    </row>
    <row r="21" spans="1:11" ht="15">
      <c r="A21" s="217">
        <v>44698</v>
      </c>
      <c r="B21" s="218" t="s">
        <v>219</v>
      </c>
      <c r="C21" s="218" t="s">
        <v>178</v>
      </c>
      <c r="D21" s="218" t="s">
        <v>170</v>
      </c>
      <c r="E21" s="218" t="s">
        <v>171</v>
      </c>
      <c r="F21" s="260">
        <v>100</v>
      </c>
      <c r="G21" s="224"/>
      <c r="H21" s="260"/>
      <c r="I21" s="193"/>
      <c r="J21" s="193">
        <f t="shared" si="1"/>
        <v>100</v>
      </c>
    </row>
    <row r="22" spans="1:11" ht="15">
      <c r="A22" s="262">
        <v>44700</v>
      </c>
      <c r="B22" s="263" t="s">
        <v>220</v>
      </c>
      <c r="C22" s="263" t="s">
        <v>221</v>
      </c>
      <c r="D22" s="263" t="s">
        <v>170</v>
      </c>
      <c r="E22" s="263" t="s">
        <v>222</v>
      </c>
      <c r="F22" s="264">
        <v>387.32</v>
      </c>
      <c r="G22" s="265"/>
      <c r="H22" s="264"/>
      <c r="I22" s="180"/>
      <c r="J22" s="180">
        <f t="shared" si="1"/>
        <v>387.32</v>
      </c>
      <c r="K22" s="266"/>
    </row>
    <row r="23" spans="1:11" ht="15">
      <c r="A23" s="217">
        <v>44713</v>
      </c>
      <c r="B23" s="218" t="s">
        <v>220</v>
      </c>
      <c r="C23" s="218" t="s">
        <v>217</v>
      </c>
      <c r="D23" s="218" t="s">
        <v>170</v>
      </c>
      <c r="E23" s="218" t="s">
        <v>223</v>
      </c>
      <c r="F23" s="260">
        <v>547.29</v>
      </c>
      <c r="G23" s="224"/>
      <c r="H23" s="260"/>
      <c r="I23" s="261"/>
      <c r="J23" s="193">
        <f t="shared" si="1"/>
        <v>547.29</v>
      </c>
    </row>
    <row r="24" spans="1:11" ht="15">
      <c r="A24" s="217">
        <v>44713</v>
      </c>
      <c r="B24" s="218" t="s">
        <v>224</v>
      </c>
      <c r="C24" s="218" t="s">
        <v>225</v>
      </c>
      <c r="D24" s="218" t="s">
        <v>170</v>
      </c>
      <c r="E24" s="218"/>
      <c r="F24" s="260"/>
      <c r="G24" s="224"/>
      <c r="H24" s="260"/>
      <c r="I24" s="261">
        <f>4576.92-1525.64-1525.64-1525.64</f>
        <v>0</v>
      </c>
      <c r="J24" s="193">
        <f t="shared" si="1"/>
        <v>0</v>
      </c>
    </row>
    <row r="25" spans="1:11" ht="15">
      <c r="A25" s="217">
        <v>44716</v>
      </c>
      <c r="B25" s="218" t="s">
        <v>226</v>
      </c>
      <c r="C25" s="218" t="s">
        <v>227</v>
      </c>
      <c r="D25" s="218" t="s">
        <v>170</v>
      </c>
      <c r="E25" s="226">
        <v>273689</v>
      </c>
      <c r="F25" s="260">
        <v>460</v>
      </c>
      <c r="G25" s="224"/>
      <c r="H25" s="260"/>
      <c r="I25" s="261"/>
      <c r="J25" s="193">
        <f t="shared" si="1"/>
        <v>460</v>
      </c>
    </row>
    <row r="26" spans="1:11" ht="15">
      <c r="A26" s="227">
        <v>44719</v>
      </c>
      <c r="B26" s="228" t="s">
        <v>208</v>
      </c>
      <c r="C26" s="228" t="s">
        <v>178</v>
      </c>
      <c r="D26" s="228" t="s">
        <v>171</v>
      </c>
      <c r="E26" s="228" t="s">
        <v>171</v>
      </c>
      <c r="F26" s="267">
        <v>200</v>
      </c>
      <c r="G26" s="225"/>
      <c r="H26" s="267"/>
      <c r="I26" s="268"/>
      <c r="J26" s="269">
        <f t="shared" si="1"/>
        <v>200</v>
      </c>
      <c r="K26" s="270"/>
    </row>
    <row r="27" spans="1:11" ht="15">
      <c r="A27" s="271">
        <v>44736</v>
      </c>
      <c r="B27" s="272" t="s">
        <v>228</v>
      </c>
      <c r="C27" s="272" t="s">
        <v>229</v>
      </c>
      <c r="D27" s="272" t="s">
        <v>173</v>
      </c>
      <c r="E27" s="272"/>
      <c r="F27" s="273"/>
      <c r="G27" s="274"/>
      <c r="H27" s="273"/>
      <c r="I27" s="275">
        <v>4450</v>
      </c>
      <c r="J27" s="276">
        <f t="shared" si="1"/>
        <v>4450</v>
      </c>
      <c r="K27" s="277"/>
    </row>
    <row r="28" spans="1:11" ht="15">
      <c r="A28" s="217">
        <v>44739</v>
      </c>
      <c r="B28" s="218" t="s">
        <v>230</v>
      </c>
      <c r="C28" s="218" t="s">
        <v>217</v>
      </c>
      <c r="D28" s="218" t="s">
        <v>170</v>
      </c>
      <c r="E28" s="218" t="s">
        <v>231</v>
      </c>
      <c r="F28" s="260">
        <v>1158.71</v>
      </c>
      <c r="G28" s="224"/>
      <c r="H28" s="260"/>
      <c r="I28" s="261"/>
      <c r="J28" s="193">
        <f t="shared" si="1"/>
        <v>1158.71</v>
      </c>
    </row>
    <row r="29" spans="1:11" ht="15">
      <c r="A29" s="217">
        <v>44746</v>
      </c>
      <c r="B29" s="218" t="s">
        <v>232</v>
      </c>
      <c r="C29" s="218" t="s">
        <v>225</v>
      </c>
      <c r="D29" s="218" t="s">
        <v>170</v>
      </c>
      <c r="E29" s="218" t="s">
        <v>171</v>
      </c>
      <c r="F29" s="260">
        <v>1525.64</v>
      </c>
      <c r="G29" s="224"/>
      <c r="H29" s="260"/>
      <c r="I29" s="261"/>
      <c r="J29" s="193">
        <f t="shared" si="1"/>
        <v>1525.64</v>
      </c>
    </row>
    <row r="30" spans="1:11" ht="15">
      <c r="A30" s="217">
        <v>44755</v>
      </c>
      <c r="B30" s="218" t="s">
        <v>233</v>
      </c>
      <c r="C30" s="218" t="s">
        <v>221</v>
      </c>
      <c r="D30" s="218" t="s">
        <v>170</v>
      </c>
      <c r="E30" s="218" t="s">
        <v>234</v>
      </c>
      <c r="F30" s="260">
        <f>1728.41+691.08</f>
        <v>2419.4900000000002</v>
      </c>
      <c r="G30" s="224"/>
      <c r="H30" s="260"/>
      <c r="I30" s="261"/>
      <c r="J30" s="193">
        <f t="shared" si="1"/>
        <v>2419.4900000000002</v>
      </c>
    </row>
    <row r="31" spans="1:11" ht="15">
      <c r="A31" s="217">
        <v>44755</v>
      </c>
      <c r="B31" s="218" t="s">
        <v>235</v>
      </c>
      <c r="C31" s="218" t="s">
        <v>221</v>
      </c>
      <c r="D31" s="218" t="s">
        <v>170</v>
      </c>
      <c r="E31" s="218" t="s">
        <v>236</v>
      </c>
      <c r="F31" s="260">
        <v>2520</v>
      </c>
      <c r="G31" s="224"/>
      <c r="H31" s="260"/>
      <c r="I31" s="261"/>
      <c r="J31" s="193">
        <f t="shared" si="1"/>
        <v>2520</v>
      </c>
    </row>
    <row r="32" spans="1:11" ht="15">
      <c r="A32" s="217">
        <v>44756</v>
      </c>
      <c r="B32" s="218" t="s">
        <v>237</v>
      </c>
      <c r="C32" s="218" t="s">
        <v>178</v>
      </c>
      <c r="D32" s="218" t="s">
        <v>170</v>
      </c>
      <c r="E32" s="218" t="s">
        <v>171</v>
      </c>
      <c r="F32" s="260">
        <v>150</v>
      </c>
      <c r="G32" s="224"/>
      <c r="H32" s="260"/>
      <c r="I32" s="261"/>
      <c r="J32" s="193">
        <f t="shared" si="1"/>
        <v>150</v>
      </c>
      <c r="K32" s="58">
        <v>23713649917</v>
      </c>
    </row>
    <row r="33" spans="1:11" ht="15">
      <c r="A33" s="262">
        <v>44764</v>
      </c>
      <c r="B33" s="263" t="s">
        <v>238</v>
      </c>
      <c r="C33" s="263" t="s">
        <v>194</v>
      </c>
      <c r="D33" s="263" t="s">
        <v>170</v>
      </c>
      <c r="E33" s="263">
        <v>43939</v>
      </c>
      <c r="F33" s="264">
        <v>190</v>
      </c>
      <c r="G33" s="265"/>
      <c r="H33" s="264"/>
      <c r="I33" s="278"/>
      <c r="J33" s="180">
        <f t="shared" si="1"/>
        <v>190</v>
      </c>
      <c r="K33" s="266"/>
    </row>
    <row r="34" spans="1:11" ht="15">
      <c r="A34" s="217">
        <v>44767</v>
      </c>
      <c r="B34" s="218" t="s">
        <v>239</v>
      </c>
      <c r="C34" s="218" t="s">
        <v>221</v>
      </c>
      <c r="D34" s="218" t="s">
        <v>170</v>
      </c>
      <c r="E34" s="218" t="s">
        <v>240</v>
      </c>
      <c r="F34" s="260">
        <v>1179.1400000000001</v>
      </c>
      <c r="G34" s="224"/>
      <c r="H34" s="260"/>
      <c r="I34" s="261"/>
      <c r="J34" s="193">
        <f t="shared" si="1"/>
        <v>1179.1400000000001</v>
      </c>
    </row>
    <row r="35" spans="1:11" ht="15">
      <c r="A35" s="217">
        <v>44767</v>
      </c>
      <c r="B35" s="218" t="s">
        <v>241</v>
      </c>
      <c r="C35" s="218" t="s">
        <v>225</v>
      </c>
      <c r="D35" s="218"/>
      <c r="E35" s="218"/>
      <c r="F35" s="260"/>
      <c r="G35" s="224"/>
      <c r="H35" s="267">
        <v>6565</v>
      </c>
      <c r="I35" s="261"/>
      <c r="J35" s="193">
        <f t="shared" si="1"/>
        <v>6565</v>
      </c>
      <c r="K35" s="58">
        <v>24302337948</v>
      </c>
    </row>
    <row r="36" spans="1:11" ht="15">
      <c r="A36" s="217">
        <v>44768</v>
      </c>
      <c r="B36" s="218" t="s">
        <v>208</v>
      </c>
      <c r="C36" s="218" t="s">
        <v>178</v>
      </c>
      <c r="D36" s="218" t="s">
        <v>170</v>
      </c>
      <c r="E36" s="218" t="s">
        <v>171</v>
      </c>
      <c r="F36" s="260">
        <v>300</v>
      </c>
      <c r="G36" s="224"/>
      <c r="H36" s="260"/>
      <c r="I36" s="261"/>
      <c r="J36" s="193">
        <f t="shared" si="1"/>
        <v>300</v>
      </c>
    </row>
    <row r="37" spans="1:11" ht="15">
      <c r="A37" s="217">
        <v>44774</v>
      </c>
      <c r="B37" s="218" t="s">
        <v>242</v>
      </c>
      <c r="C37" s="218" t="s">
        <v>225</v>
      </c>
      <c r="D37" s="218" t="s">
        <v>170</v>
      </c>
      <c r="E37" s="218" t="s">
        <v>171</v>
      </c>
      <c r="F37" s="260">
        <v>1525.64</v>
      </c>
      <c r="G37" s="224"/>
      <c r="H37" s="260"/>
      <c r="I37" s="261"/>
      <c r="J37" s="193">
        <f t="shared" si="1"/>
        <v>1525.64</v>
      </c>
    </row>
    <row r="38" spans="1:11" ht="15">
      <c r="A38" s="217">
        <v>44778</v>
      </c>
      <c r="B38" s="218" t="s">
        <v>243</v>
      </c>
      <c r="C38" s="218" t="s">
        <v>221</v>
      </c>
      <c r="D38" s="218" t="s">
        <v>170</v>
      </c>
      <c r="E38" s="218" t="s">
        <v>171</v>
      </c>
      <c r="F38" s="260">
        <v>4770</v>
      </c>
      <c r="G38" s="260"/>
      <c r="H38" s="260"/>
      <c r="I38" s="261"/>
      <c r="J38" s="193">
        <f t="shared" si="1"/>
        <v>4770</v>
      </c>
    </row>
    <row r="39" spans="1:11" ht="15">
      <c r="A39" s="217">
        <v>44784</v>
      </c>
      <c r="B39" s="218" t="s">
        <v>244</v>
      </c>
      <c r="C39" s="218" t="s">
        <v>245</v>
      </c>
      <c r="D39" s="218" t="s">
        <v>170</v>
      </c>
      <c r="E39" s="226">
        <v>185239</v>
      </c>
      <c r="F39" s="260">
        <v>160</v>
      </c>
      <c r="G39" s="260"/>
      <c r="H39" s="260"/>
      <c r="I39" s="261"/>
      <c r="J39" s="193">
        <f t="shared" si="1"/>
        <v>160</v>
      </c>
    </row>
    <row r="40" spans="1:11" ht="15">
      <c r="A40" s="262">
        <v>44784</v>
      </c>
      <c r="B40" s="263" t="s">
        <v>237</v>
      </c>
      <c r="C40" s="263" t="s">
        <v>246</v>
      </c>
      <c r="D40" s="263" t="s">
        <v>170</v>
      </c>
      <c r="E40" s="263" t="s">
        <v>171</v>
      </c>
      <c r="F40" s="264">
        <v>500</v>
      </c>
      <c r="G40" s="264"/>
      <c r="H40" s="264"/>
      <c r="I40" s="278"/>
      <c r="J40" s="180">
        <f t="shared" si="1"/>
        <v>500</v>
      </c>
      <c r="K40" s="266"/>
    </row>
    <row r="41" spans="1:11" ht="15">
      <c r="A41" s="217">
        <v>44803</v>
      </c>
      <c r="B41" s="218" t="s">
        <v>247</v>
      </c>
      <c r="C41" s="218" t="s">
        <v>221</v>
      </c>
      <c r="D41" s="218" t="s">
        <v>170</v>
      </c>
      <c r="E41" s="218" t="s">
        <v>248</v>
      </c>
      <c r="F41" s="260">
        <v>5210.49</v>
      </c>
      <c r="G41" s="260"/>
      <c r="H41" s="260"/>
      <c r="I41" s="261"/>
      <c r="J41" s="193">
        <f t="shared" si="1"/>
        <v>5210.49</v>
      </c>
    </row>
    <row r="42" spans="1:11" ht="15">
      <c r="A42" s="217">
        <v>44805</v>
      </c>
      <c r="B42" s="218" t="s">
        <v>249</v>
      </c>
      <c r="C42" s="218" t="s">
        <v>194</v>
      </c>
      <c r="D42" s="218" t="s">
        <v>170</v>
      </c>
      <c r="E42" s="218" t="s">
        <v>171</v>
      </c>
      <c r="F42" s="260">
        <v>270</v>
      </c>
      <c r="G42" s="260"/>
      <c r="H42" s="260"/>
      <c r="I42" s="261"/>
      <c r="J42" s="193">
        <f t="shared" si="1"/>
        <v>270</v>
      </c>
    </row>
    <row r="43" spans="1:11" ht="15">
      <c r="A43" s="217">
        <v>44805</v>
      </c>
      <c r="B43" s="218" t="s">
        <v>250</v>
      </c>
      <c r="C43" s="218" t="s">
        <v>251</v>
      </c>
      <c r="D43" s="218" t="s">
        <v>170</v>
      </c>
      <c r="E43" s="218" t="s">
        <v>171</v>
      </c>
      <c r="F43" s="260">
        <v>2180</v>
      </c>
      <c r="G43" s="260"/>
      <c r="H43" s="260"/>
      <c r="I43" s="261"/>
      <c r="J43" s="193">
        <f t="shared" si="1"/>
        <v>2180</v>
      </c>
    </row>
    <row r="44" spans="1:11" ht="15">
      <c r="A44" s="217">
        <v>44809</v>
      </c>
      <c r="B44" s="218" t="s">
        <v>252</v>
      </c>
      <c r="C44" s="218" t="s">
        <v>225</v>
      </c>
      <c r="D44" s="218" t="s">
        <v>170</v>
      </c>
      <c r="E44" s="218" t="s">
        <v>171</v>
      </c>
      <c r="F44" s="260">
        <v>1525.64</v>
      </c>
      <c r="G44" s="260"/>
      <c r="H44" s="260"/>
      <c r="I44" s="261"/>
      <c r="J44" s="193">
        <f t="shared" si="1"/>
        <v>1525.64</v>
      </c>
    </row>
    <row r="45" spans="1:11" ht="15">
      <c r="A45" s="217">
        <v>44813</v>
      </c>
      <c r="B45" s="218" t="s">
        <v>253</v>
      </c>
      <c r="C45" s="218" t="s">
        <v>176</v>
      </c>
      <c r="D45" s="218" t="s">
        <v>170</v>
      </c>
      <c r="E45" s="218">
        <v>19109</v>
      </c>
      <c r="F45" s="260">
        <v>900</v>
      </c>
      <c r="G45" s="260"/>
      <c r="H45" s="260"/>
      <c r="I45" s="261"/>
      <c r="J45" s="193">
        <f t="shared" si="1"/>
        <v>900</v>
      </c>
    </row>
    <row r="46" spans="1:11" ht="15">
      <c r="A46" s="262">
        <v>44816</v>
      </c>
      <c r="B46" s="263" t="s">
        <v>254</v>
      </c>
      <c r="C46" s="263" t="s">
        <v>202</v>
      </c>
      <c r="D46" s="263" t="s">
        <v>170</v>
      </c>
      <c r="E46" s="279">
        <v>668062</v>
      </c>
      <c r="F46" s="264">
        <v>8700</v>
      </c>
      <c r="G46" s="264"/>
      <c r="H46" s="264"/>
      <c r="I46" s="278"/>
      <c r="J46" s="180">
        <f t="shared" si="1"/>
        <v>8700</v>
      </c>
      <c r="K46" s="266"/>
    </row>
    <row r="47" spans="1:11" ht="15">
      <c r="A47" s="217">
        <v>44832</v>
      </c>
      <c r="B47" s="218" t="s">
        <v>255</v>
      </c>
      <c r="C47" s="218" t="s">
        <v>202</v>
      </c>
      <c r="D47" s="218" t="s">
        <v>170</v>
      </c>
      <c r="E47" s="218" t="s">
        <v>256</v>
      </c>
      <c r="F47" s="260">
        <v>1395.66</v>
      </c>
      <c r="G47" s="224"/>
      <c r="H47" s="260"/>
      <c r="I47" s="261"/>
      <c r="J47" s="193">
        <f t="shared" si="1"/>
        <v>1395.66</v>
      </c>
    </row>
    <row r="48" spans="1:11" ht="15">
      <c r="A48" s="217">
        <v>44842</v>
      </c>
      <c r="B48" s="218" t="s">
        <v>257</v>
      </c>
      <c r="C48" s="218" t="s">
        <v>202</v>
      </c>
      <c r="D48" s="218" t="s">
        <v>170</v>
      </c>
      <c r="E48" s="218"/>
      <c r="F48" s="260">
        <v>1083.58</v>
      </c>
      <c r="G48" s="260"/>
      <c r="H48" s="260"/>
      <c r="I48" s="261"/>
      <c r="J48" s="193">
        <f t="shared" si="1"/>
        <v>1083.58</v>
      </c>
    </row>
    <row r="49" spans="1:11" ht="15">
      <c r="A49" s="262">
        <v>44853</v>
      </c>
      <c r="B49" s="263" t="s">
        <v>258</v>
      </c>
      <c r="C49" s="263" t="s">
        <v>202</v>
      </c>
      <c r="D49" s="263" t="s">
        <v>170</v>
      </c>
      <c r="E49" s="263" t="s">
        <v>259</v>
      </c>
      <c r="F49" s="264">
        <v>2767.5</v>
      </c>
      <c r="G49" s="264"/>
      <c r="H49" s="264"/>
      <c r="I49" s="278"/>
      <c r="J49" s="180">
        <f t="shared" si="1"/>
        <v>2767.5</v>
      </c>
      <c r="K49" s="266"/>
    </row>
    <row r="50" spans="1:11" ht="15">
      <c r="A50" s="217">
        <v>44874</v>
      </c>
      <c r="B50" s="218" t="s">
        <v>247</v>
      </c>
      <c r="C50" s="218" t="s">
        <v>221</v>
      </c>
      <c r="D50" s="218" t="s">
        <v>170</v>
      </c>
      <c r="E50" s="218" t="s">
        <v>260</v>
      </c>
      <c r="F50" s="260">
        <v>2030</v>
      </c>
      <c r="G50" s="224"/>
      <c r="H50" s="260"/>
      <c r="I50" s="261"/>
      <c r="J50" s="193">
        <f t="shared" si="1"/>
        <v>2030</v>
      </c>
    </row>
    <row r="51" spans="1:11" ht="15">
      <c r="A51" s="217">
        <v>44875</v>
      </c>
      <c r="B51" s="218" t="s">
        <v>261</v>
      </c>
      <c r="C51" s="218" t="s">
        <v>192</v>
      </c>
      <c r="D51" s="218" t="s">
        <v>170</v>
      </c>
      <c r="E51" s="218">
        <v>180985</v>
      </c>
      <c r="F51" s="260">
        <v>180</v>
      </c>
      <c r="G51" s="224"/>
      <c r="H51" s="260"/>
      <c r="I51" s="261"/>
      <c r="J51" s="193">
        <f t="shared" si="1"/>
        <v>180</v>
      </c>
    </row>
    <row r="52" spans="1:11" ht="15">
      <c r="A52" s="217">
        <v>44877</v>
      </c>
      <c r="B52" s="218" t="s">
        <v>262</v>
      </c>
      <c r="C52" s="218" t="s">
        <v>221</v>
      </c>
      <c r="D52" s="218" t="s">
        <v>170</v>
      </c>
      <c r="E52" s="218" t="s">
        <v>263</v>
      </c>
      <c r="F52" s="260">
        <v>3129.8</v>
      </c>
      <c r="G52" s="224"/>
      <c r="H52" s="260"/>
      <c r="I52" s="261"/>
      <c r="J52" s="193">
        <f t="shared" si="1"/>
        <v>3129.8</v>
      </c>
    </row>
    <row r="53" spans="1:11" ht="15">
      <c r="A53" s="217">
        <v>44884</v>
      </c>
      <c r="B53" s="218" t="s">
        <v>264</v>
      </c>
      <c r="C53" s="218" t="s">
        <v>265</v>
      </c>
      <c r="D53" s="218" t="s">
        <v>170</v>
      </c>
      <c r="E53" s="218">
        <v>180987</v>
      </c>
      <c r="F53" s="260">
        <v>370</v>
      </c>
      <c r="G53" s="224"/>
      <c r="H53" s="260"/>
      <c r="I53" s="261"/>
      <c r="J53" s="193">
        <f t="shared" si="1"/>
        <v>370</v>
      </c>
    </row>
    <row r="54" spans="1:11" ht="15">
      <c r="A54" s="217">
        <v>44882</v>
      </c>
      <c r="B54" s="218" t="s">
        <v>266</v>
      </c>
      <c r="C54" s="218" t="s">
        <v>267</v>
      </c>
      <c r="D54" s="218" t="s">
        <v>170</v>
      </c>
      <c r="E54" s="218">
        <v>180986</v>
      </c>
      <c r="F54" s="260">
        <v>400</v>
      </c>
      <c r="G54" s="224"/>
      <c r="H54" s="260"/>
      <c r="I54" s="261"/>
      <c r="J54" s="193">
        <f t="shared" si="1"/>
        <v>400</v>
      </c>
    </row>
    <row r="55" spans="1:11" ht="15">
      <c r="A55" s="217">
        <v>44887</v>
      </c>
      <c r="B55" s="218" t="s">
        <v>268</v>
      </c>
      <c r="C55" s="218" t="s">
        <v>221</v>
      </c>
      <c r="D55" s="218" t="s">
        <v>170</v>
      </c>
      <c r="E55" s="218" t="s">
        <v>269</v>
      </c>
      <c r="F55" s="260">
        <v>5090.6400000000003</v>
      </c>
      <c r="G55" s="224"/>
      <c r="H55" s="260"/>
      <c r="I55" s="261"/>
      <c r="J55" s="193">
        <f t="shared" si="1"/>
        <v>5090.6400000000003</v>
      </c>
    </row>
    <row r="56" spans="1:11" ht="15">
      <c r="A56" s="262">
        <v>44888</v>
      </c>
      <c r="B56" s="263" t="s">
        <v>216</v>
      </c>
      <c r="C56" s="263" t="s">
        <v>221</v>
      </c>
      <c r="D56" s="263" t="s">
        <v>170</v>
      </c>
      <c r="E56" s="263" t="s">
        <v>270</v>
      </c>
      <c r="F56" s="264">
        <v>2772.4</v>
      </c>
      <c r="G56" s="264"/>
      <c r="H56" s="264"/>
      <c r="I56" s="278"/>
      <c r="J56" s="180">
        <f t="shared" si="1"/>
        <v>2772.4</v>
      </c>
      <c r="K56" s="266"/>
    </row>
    <row r="57" spans="1:11" ht="15">
      <c r="A57" s="217">
        <v>44901</v>
      </c>
      <c r="B57" s="218" t="s">
        <v>208</v>
      </c>
      <c r="C57" s="218" t="s">
        <v>271</v>
      </c>
      <c r="D57" s="218" t="s">
        <v>170</v>
      </c>
      <c r="E57" s="218">
        <v>180988</v>
      </c>
      <c r="F57" s="260">
        <v>500</v>
      </c>
      <c r="G57" s="224"/>
      <c r="H57" s="260"/>
      <c r="I57" s="261"/>
      <c r="J57" s="193">
        <f t="shared" si="1"/>
        <v>500</v>
      </c>
    </row>
    <row r="58" spans="1:11" ht="15">
      <c r="A58" s="217">
        <v>44908</v>
      </c>
      <c r="B58" s="218" t="s">
        <v>208</v>
      </c>
      <c r="C58" s="218" t="s">
        <v>271</v>
      </c>
      <c r="D58" s="218" t="s">
        <v>170</v>
      </c>
      <c r="E58" s="218">
        <v>180987</v>
      </c>
      <c r="F58" s="260">
        <v>510</v>
      </c>
      <c r="G58" s="224"/>
      <c r="H58" s="260"/>
      <c r="I58" s="261"/>
      <c r="J58" s="193">
        <f t="shared" si="1"/>
        <v>510</v>
      </c>
    </row>
    <row r="59" spans="1:11" ht="15">
      <c r="A59" s="217">
        <v>44908</v>
      </c>
      <c r="B59" s="218" t="s">
        <v>235</v>
      </c>
      <c r="C59" s="218" t="s">
        <v>221</v>
      </c>
      <c r="D59" s="218" t="s">
        <v>170</v>
      </c>
      <c r="E59" s="218" t="s">
        <v>272</v>
      </c>
      <c r="F59" s="260">
        <v>1536.05</v>
      </c>
      <c r="G59" s="224"/>
      <c r="H59" s="260"/>
      <c r="I59" s="261"/>
      <c r="J59" s="193">
        <f t="shared" si="1"/>
        <v>1536.05</v>
      </c>
    </row>
    <row r="60" spans="1:11" ht="15">
      <c r="A60" s="262">
        <v>44919</v>
      </c>
      <c r="B60" s="263" t="s">
        <v>273</v>
      </c>
      <c r="C60" s="263" t="s">
        <v>221</v>
      </c>
      <c r="D60" s="263" t="s">
        <v>170</v>
      </c>
      <c r="E60" s="263" t="s">
        <v>274</v>
      </c>
      <c r="F60" s="264">
        <v>3011.9</v>
      </c>
      <c r="G60" s="264"/>
      <c r="H60" s="264"/>
      <c r="I60" s="278"/>
      <c r="J60" s="180">
        <f t="shared" si="1"/>
        <v>3011.9</v>
      </c>
      <c r="K60" s="266"/>
    </row>
    <row r="61" spans="1:11" ht="15">
      <c r="A61" s="217">
        <v>44936</v>
      </c>
      <c r="B61" s="218" t="s">
        <v>235</v>
      </c>
      <c r="C61" s="218" t="s">
        <v>275</v>
      </c>
      <c r="D61" s="218" t="s">
        <v>170</v>
      </c>
      <c r="E61" s="218" t="s">
        <v>171</v>
      </c>
      <c r="F61" s="260">
        <v>2480</v>
      </c>
      <c r="G61" s="224"/>
      <c r="H61" s="260"/>
      <c r="I61" s="261"/>
      <c r="J61" s="193">
        <f t="shared" si="1"/>
        <v>2480</v>
      </c>
    </row>
    <row r="62" spans="1:11" ht="15">
      <c r="A62" s="217">
        <v>44933</v>
      </c>
      <c r="B62" s="218" t="s">
        <v>276</v>
      </c>
      <c r="C62" s="218" t="s">
        <v>277</v>
      </c>
      <c r="D62" s="218" t="s">
        <v>170</v>
      </c>
      <c r="E62" s="218">
        <v>180992</v>
      </c>
      <c r="F62" s="260">
        <v>3700</v>
      </c>
      <c r="G62" s="224"/>
      <c r="H62" s="260"/>
      <c r="I62" s="261"/>
      <c r="J62" s="193">
        <f t="shared" si="1"/>
        <v>3700</v>
      </c>
    </row>
    <row r="63" spans="1:11" ht="15">
      <c r="A63" s="217">
        <v>44940</v>
      </c>
      <c r="B63" s="218" t="s">
        <v>278</v>
      </c>
      <c r="C63" s="218" t="s">
        <v>279</v>
      </c>
      <c r="D63" s="218" t="s">
        <v>166</v>
      </c>
      <c r="E63" s="218" t="s">
        <v>280</v>
      </c>
      <c r="F63" s="260">
        <v>800</v>
      </c>
      <c r="G63" s="224"/>
      <c r="H63" s="260"/>
      <c r="I63" s="261"/>
      <c r="J63" s="193">
        <f t="shared" si="1"/>
        <v>800</v>
      </c>
    </row>
    <row r="64" spans="1:11" ht="15">
      <c r="A64" s="217">
        <v>44943</v>
      </c>
      <c r="B64" s="218" t="s">
        <v>278</v>
      </c>
      <c r="C64" s="218" t="s">
        <v>279</v>
      </c>
      <c r="D64" s="218" t="s">
        <v>166</v>
      </c>
      <c r="E64" s="218" t="s">
        <v>281</v>
      </c>
      <c r="F64" s="260">
        <v>800</v>
      </c>
      <c r="G64" s="224"/>
      <c r="H64" s="260"/>
      <c r="I64" s="261"/>
      <c r="J64" s="193">
        <f t="shared" si="1"/>
        <v>800</v>
      </c>
    </row>
    <row r="65" spans="1:11" ht="15">
      <c r="A65" s="217">
        <v>44947</v>
      </c>
      <c r="B65" s="218" t="s">
        <v>282</v>
      </c>
      <c r="C65" s="218" t="s">
        <v>283</v>
      </c>
      <c r="D65" s="218" t="s">
        <v>173</v>
      </c>
      <c r="E65" s="226">
        <v>484345</v>
      </c>
      <c r="F65" s="260">
        <v>380</v>
      </c>
      <c r="G65" s="224"/>
      <c r="H65" s="260"/>
      <c r="I65" s="261"/>
      <c r="J65" s="193">
        <f t="shared" si="1"/>
        <v>380</v>
      </c>
    </row>
    <row r="66" spans="1:11" ht="15">
      <c r="A66" s="262">
        <v>44946</v>
      </c>
      <c r="B66" s="263" t="s">
        <v>284</v>
      </c>
      <c r="C66" s="263" t="s">
        <v>221</v>
      </c>
      <c r="D66" s="263" t="s">
        <v>170</v>
      </c>
      <c r="E66" s="263" t="s">
        <v>285</v>
      </c>
      <c r="F66" s="264">
        <v>27435.95</v>
      </c>
      <c r="G66" s="265"/>
      <c r="H66" s="264"/>
      <c r="I66" s="278"/>
      <c r="J66" s="180">
        <f t="shared" si="1"/>
        <v>27435.95</v>
      </c>
      <c r="K66" s="266"/>
    </row>
    <row r="67" spans="1:11" ht="15">
      <c r="A67" s="217">
        <v>44960</v>
      </c>
      <c r="B67" s="218" t="s">
        <v>286</v>
      </c>
      <c r="C67" s="218" t="s">
        <v>227</v>
      </c>
      <c r="D67" s="218" t="s">
        <v>170</v>
      </c>
      <c r="E67" s="226">
        <v>1461092</v>
      </c>
      <c r="F67" s="260">
        <v>450</v>
      </c>
      <c r="G67" s="224"/>
      <c r="H67" s="260"/>
      <c r="I67" s="261"/>
      <c r="J67" s="193">
        <f t="shared" si="1"/>
        <v>450</v>
      </c>
    </row>
    <row r="68" spans="1:11" ht="15">
      <c r="A68" s="229">
        <v>44964</v>
      </c>
      <c r="B68" s="230" t="s">
        <v>287</v>
      </c>
      <c r="C68" s="230" t="s">
        <v>288</v>
      </c>
      <c r="D68" s="230" t="s">
        <v>170</v>
      </c>
      <c r="E68" s="280">
        <v>856616</v>
      </c>
      <c r="F68" s="281">
        <v>600</v>
      </c>
      <c r="G68" s="282"/>
      <c r="H68" s="281"/>
      <c r="I68" s="283"/>
      <c r="J68" s="254">
        <f t="shared" si="1"/>
        <v>600</v>
      </c>
      <c r="K68" s="284"/>
    </row>
    <row r="69" spans="1:11" ht="15">
      <c r="A69" s="217">
        <v>44966</v>
      </c>
      <c r="B69" s="218" t="s">
        <v>289</v>
      </c>
      <c r="C69" s="218" t="s">
        <v>179</v>
      </c>
      <c r="D69" s="218" t="s">
        <v>168</v>
      </c>
      <c r="E69" s="218" t="s">
        <v>181</v>
      </c>
      <c r="F69" s="260">
        <f>546.546+241.759+481.874+788.145+1071.092+1134.051</f>
        <v>4263.4670000000006</v>
      </c>
      <c r="G69" s="224"/>
      <c r="H69" s="260"/>
      <c r="I69" s="261"/>
      <c r="J69" s="261">
        <f t="shared" si="1"/>
        <v>4263.4670000000006</v>
      </c>
    </row>
    <row r="70" spans="1:11" ht="15">
      <c r="A70" s="217">
        <v>44972</v>
      </c>
      <c r="B70" s="218" t="s">
        <v>284</v>
      </c>
      <c r="C70" s="218" t="s">
        <v>221</v>
      </c>
      <c r="D70" s="218" t="s">
        <v>170</v>
      </c>
      <c r="E70" s="218" t="s">
        <v>290</v>
      </c>
      <c r="F70" s="260">
        <v>7725.32</v>
      </c>
      <c r="G70" s="224"/>
      <c r="H70" s="260"/>
      <c r="I70" s="261"/>
      <c r="J70" s="261">
        <f t="shared" si="1"/>
        <v>7725.32</v>
      </c>
    </row>
    <row r="71" spans="1:11" ht="15">
      <c r="A71" s="217">
        <v>44974</v>
      </c>
      <c r="B71" s="218" t="s">
        <v>224</v>
      </c>
      <c r="C71" s="218" t="s">
        <v>225</v>
      </c>
      <c r="D71" s="218" t="s">
        <v>170</v>
      </c>
      <c r="E71" s="218">
        <v>54829768540</v>
      </c>
      <c r="F71" s="260"/>
      <c r="G71" s="224"/>
      <c r="H71" s="260"/>
      <c r="I71" s="261">
        <v>16500</v>
      </c>
      <c r="J71" s="193">
        <f t="shared" si="1"/>
        <v>16500</v>
      </c>
    </row>
    <row r="72" spans="1:11" ht="15">
      <c r="A72" s="285">
        <v>44981</v>
      </c>
      <c r="B72" s="286" t="s">
        <v>291</v>
      </c>
      <c r="C72" s="286" t="s">
        <v>225</v>
      </c>
      <c r="D72" s="286" t="s">
        <v>170</v>
      </c>
      <c r="E72" s="286">
        <v>55063931155</v>
      </c>
      <c r="F72" s="287"/>
      <c r="G72" s="288"/>
      <c r="H72" s="287">
        <v>5494.84</v>
      </c>
      <c r="I72" s="289"/>
      <c r="J72" s="290">
        <f t="shared" si="1"/>
        <v>5494.84</v>
      </c>
      <c r="K72" s="291"/>
    </row>
    <row r="73" spans="1:11" ht="15">
      <c r="A73" s="217">
        <v>44988</v>
      </c>
      <c r="B73" s="218" t="s">
        <v>292</v>
      </c>
      <c r="C73" s="218" t="s">
        <v>225</v>
      </c>
      <c r="D73" s="218" t="s">
        <v>170</v>
      </c>
      <c r="E73" s="218"/>
      <c r="F73" s="260"/>
      <c r="G73" s="224"/>
      <c r="H73" s="260">
        <v>5949.99</v>
      </c>
      <c r="I73" s="261"/>
      <c r="J73" s="193">
        <f t="shared" si="1"/>
        <v>5949.99</v>
      </c>
    </row>
    <row r="74" spans="1:11" ht="15">
      <c r="A74" s="217">
        <v>44996</v>
      </c>
      <c r="B74" s="218" t="s">
        <v>293</v>
      </c>
      <c r="C74" s="218" t="s">
        <v>194</v>
      </c>
      <c r="D74" s="218" t="s">
        <v>166</v>
      </c>
      <c r="E74" s="226">
        <v>434335</v>
      </c>
      <c r="F74" s="260">
        <v>2800</v>
      </c>
      <c r="G74" s="224"/>
      <c r="H74" s="260"/>
      <c r="I74" s="261"/>
      <c r="J74" s="193">
        <f t="shared" si="1"/>
        <v>2800</v>
      </c>
    </row>
    <row r="75" spans="1:11" ht="15">
      <c r="A75" s="217">
        <v>45001</v>
      </c>
      <c r="B75" s="218" t="s">
        <v>294</v>
      </c>
      <c r="C75" s="218" t="s">
        <v>225</v>
      </c>
      <c r="D75" s="218" t="s">
        <v>170</v>
      </c>
      <c r="E75" s="218"/>
      <c r="F75" s="260"/>
      <c r="G75" s="224"/>
      <c r="H75" s="260">
        <v>-5949.99</v>
      </c>
      <c r="I75" s="261"/>
      <c r="J75" s="193">
        <f t="shared" si="1"/>
        <v>-5949.99</v>
      </c>
    </row>
    <row r="76" spans="1:11" ht="15">
      <c r="A76" s="217">
        <v>45006</v>
      </c>
      <c r="B76" s="218" t="s">
        <v>268</v>
      </c>
      <c r="C76" s="218" t="s">
        <v>202</v>
      </c>
      <c r="D76" s="218" t="s">
        <v>170</v>
      </c>
      <c r="E76" s="218"/>
      <c r="F76" s="260">
        <v>2060</v>
      </c>
      <c r="G76" s="224"/>
      <c r="H76" s="260"/>
      <c r="I76" s="261"/>
      <c r="J76" s="193">
        <f t="shared" si="1"/>
        <v>2060</v>
      </c>
    </row>
    <row r="77" spans="1:11" ht="15">
      <c r="A77" s="217">
        <v>45001</v>
      </c>
      <c r="B77" s="218" t="s">
        <v>295</v>
      </c>
      <c r="C77" s="218" t="s">
        <v>296</v>
      </c>
      <c r="D77" s="218" t="s">
        <v>170</v>
      </c>
      <c r="E77" s="218"/>
      <c r="F77" s="260">
        <v>1200</v>
      </c>
      <c r="G77" s="224"/>
      <c r="H77" s="260"/>
      <c r="I77" s="261"/>
      <c r="J77" s="193">
        <f t="shared" si="1"/>
        <v>1200</v>
      </c>
    </row>
    <row r="78" spans="1:11" ht="15">
      <c r="A78" s="217">
        <v>44964</v>
      </c>
      <c r="B78" s="218" t="s">
        <v>282</v>
      </c>
      <c r="C78" s="218" t="s">
        <v>212</v>
      </c>
      <c r="D78" s="218" t="s">
        <v>170</v>
      </c>
      <c r="E78" s="226">
        <v>856616</v>
      </c>
      <c r="F78" s="260">
        <v>600</v>
      </c>
      <c r="G78" s="224"/>
      <c r="H78" s="260"/>
      <c r="I78" s="261"/>
      <c r="J78" s="193">
        <f t="shared" si="1"/>
        <v>600</v>
      </c>
    </row>
    <row r="79" spans="1:11" ht="15">
      <c r="A79" s="217">
        <v>44965</v>
      </c>
      <c r="B79" s="218" t="s">
        <v>208</v>
      </c>
      <c r="C79" s="218" t="s">
        <v>297</v>
      </c>
      <c r="D79" s="218" t="s">
        <v>170</v>
      </c>
      <c r="E79" s="218"/>
      <c r="F79" s="260">
        <v>500</v>
      </c>
      <c r="G79" s="224"/>
      <c r="H79" s="260"/>
      <c r="I79" s="261"/>
      <c r="J79" s="193">
        <f t="shared" si="1"/>
        <v>500</v>
      </c>
    </row>
    <row r="80" spans="1:11" ht="15">
      <c r="A80" s="217"/>
      <c r="B80" s="218"/>
      <c r="C80" s="218"/>
      <c r="D80" s="218"/>
      <c r="E80" s="218"/>
      <c r="F80" s="260"/>
      <c r="G80" s="224"/>
      <c r="H80" s="260"/>
      <c r="I80" s="261"/>
      <c r="J80" s="193">
        <f t="shared" si="1"/>
        <v>0</v>
      </c>
    </row>
    <row r="81" spans="1:10" ht="15">
      <c r="A81" s="217"/>
      <c r="B81" s="218"/>
      <c r="C81" s="218"/>
      <c r="D81" s="218"/>
      <c r="E81" s="218"/>
      <c r="F81" s="260"/>
      <c r="G81" s="224"/>
      <c r="H81" s="260"/>
      <c r="I81" s="261"/>
      <c r="J81" s="193">
        <f t="shared" si="1"/>
        <v>0</v>
      </c>
    </row>
    <row r="82" spans="1:10" ht="15">
      <c r="A82" s="217"/>
      <c r="B82" s="218"/>
      <c r="C82" s="218"/>
      <c r="D82" s="218"/>
      <c r="E82" s="218"/>
      <c r="F82" s="260"/>
      <c r="G82" s="224"/>
      <c r="H82" s="260"/>
      <c r="I82" s="261"/>
      <c r="J82" s="193">
        <f t="shared" si="1"/>
        <v>0</v>
      </c>
    </row>
    <row r="83" spans="1:10" ht="15">
      <c r="A83" s="217"/>
      <c r="B83" s="218"/>
      <c r="C83" s="218"/>
      <c r="D83" s="218"/>
      <c r="E83" s="218"/>
      <c r="F83" s="260"/>
      <c r="G83" s="224"/>
      <c r="H83" s="260"/>
      <c r="I83" s="261"/>
      <c r="J83" s="193">
        <f t="shared" si="1"/>
        <v>0</v>
      </c>
    </row>
    <row r="84" spans="1:10" ht="15">
      <c r="A84" s="217"/>
      <c r="B84" s="218"/>
      <c r="C84" s="218"/>
      <c r="D84" s="218"/>
      <c r="E84" s="218"/>
      <c r="F84" s="260"/>
      <c r="G84" s="224"/>
      <c r="H84" s="260"/>
      <c r="I84" s="261"/>
      <c r="J84" s="193">
        <f t="shared" si="1"/>
        <v>0</v>
      </c>
    </row>
    <row r="85" spans="1:10" ht="15">
      <c r="A85" s="217"/>
      <c r="B85" s="218"/>
      <c r="C85" s="218"/>
      <c r="D85" s="218"/>
      <c r="E85" s="218"/>
      <c r="F85" s="260"/>
      <c r="G85" s="224"/>
      <c r="H85" s="260"/>
      <c r="I85" s="261"/>
      <c r="J85" s="193">
        <f t="shared" si="1"/>
        <v>0</v>
      </c>
    </row>
    <row r="86" spans="1:10" ht="15">
      <c r="A86" s="217"/>
      <c r="B86" s="218"/>
      <c r="C86" s="218"/>
      <c r="D86" s="218"/>
      <c r="E86" s="218"/>
      <c r="F86" s="260"/>
      <c r="G86" s="224"/>
      <c r="H86" s="260"/>
      <c r="I86" s="261"/>
      <c r="J86" s="193">
        <f t="shared" si="1"/>
        <v>0</v>
      </c>
    </row>
    <row r="87" spans="1:10" ht="15">
      <c r="A87" s="217"/>
      <c r="B87" s="218"/>
      <c r="C87" s="218"/>
      <c r="D87" s="218"/>
      <c r="E87" s="218"/>
      <c r="F87" s="260"/>
      <c r="G87" s="224"/>
      <c r="H87" s="260"/>
      <c r="I87" s="261"/>
      <c r="J87" s="193">
        <f t="shared" si="1"/>
        <v>0</v>
      </c>
    </row>
    <row r="88" spans="1:10" ht="15">
      <c r="A88" s="217"/>
      <c r="B88" s="218"/>
      <c r="C88" s="218"/>
      <c r="D88" s="218"/>
      <c r="E88" s="218"/>
      <c r="F88" s="260"/>
      <c r="G88" s="224"/>
      <c r="H88" s="260"/>
      <c r="I88" s="261"/>
      <c r="J88" s="193">
        <f t="shared" si="1"/>
        <v>0</v>
      </c>
    </row>
    <row r="89" spans="1:10" ht="15">
      <c r="A89" s="217"/>
      <c r="B89" s="218"/>
      <c r="C89" s="218"/>
      <c r="D89" s="218"/>
      <c r="E89" s="218"/>
      <c r="F89" s="260"/>
      <c r="G89" s="224"/>
      <c r="H89" s="260"/>
      <c r="I89" s="261"/>
      <c r="J89" s="193">
        <f t="shared" si="1"/>
        <v>0</v>
      </c>
    </row>
    <row r="90" spans="1:10" ht="15">
      <c r="A90" s="217"/>
      <c r="B90" s="218"/>
      <c r="C90" s="218"/>
      <c r="D90" s="218"/>
      <c r="E90" s="218"/>
      <c r="F90" s="260"/>
      <c r="G90" s="224"/>
      <c r="H90" s="260"/>
      <c r="I90" s="261"/>
      <c r="J90" s="193">
        <f t="shared" si="1"/>
        <v>0</v>
      </c>
    </row>
    <row r="91" spans="1:10" ht="15">
      <c r="A91" s="217"/>
      <c r="B91" s="218"/>
      <c r="C91" s="218"/>
      <c r="D91" s="218"/>
      <c r="E91" s="218"/>
      <c r="F91" s="260"/>
      <c r="G91" s="224"/>
      <c r="H91" s="260"/>
      <c r="I91" s="261"/>
      <c r="J91" s="193">
        <f t="shared" si="1"/>
        <v>0</v>
      </c>
    </row>
    <row r="92" spans="1:10" ht="15">
      <c r="A92" s="217"/>
      <c r="B92" s="218"/>
      <c r="C92" s="218"/>
      <c r="D92" s="218"/>
      <c r="E92" s="218"/>
      <c r="F92" s="260"/>
      <c r="G92" s="224"/>
      <c r="H92" s="260"/>
      <c r="I92" s="261"/>
      <c r="J92" s="193">
        <f t="shared" si="1"/>
        <v>0</v>
      </c>
    </row>
    <row r="93" spans="1:10" ht="15">
      <c r="A93" s="217"/>
      <c r="B93" s="218"/>
      <c r="C93" s="218"/>
      <c r="D93" s="218"/>
      <c r="E93" s="218"/>
      <c r="F93" s="260"/>
      <c r="G93" s="224"/>
      <c r="H93" s="260"/>
      <c r="I93" s="261"/>
      <c r="J93" s="193">
        <f t="shared" si="1"/>
        <v>0</v>
      </c>
    </row>
    <row r="94" spans="1:10" ht="15">
      <c r="A94" s="217"/>
      <c r="B94" s="218"/>
      <c r="C94" s="218"/>
      <c r="D94" s="218"/>
      <c r="E94" s="218"/>
      <c r="F94" s="260"/>
      <c r="G94" s="224"/>
      <c r="H94" s="260"/>
      <c r="I94" s="261"/>
      <c r="J94" s="193">
        <f t="shared" si="1"/>
        <v>0</v>
      </c>
    </row>
    <row r="95" spans="1:10" ht="15">
      <c r="A95" s="217"/>
      <c r="B95" s="218"/>
      <c r="C95" s="218"/>
      <c r="D95" s="218"/>
      <c r="E95" s="218"/>
      <c r="F95" s="260"/>
      <c r="G95" s="224"/>
      <c r="H95" s="260"/>
      <c r="I95" s="261"/>
      <c r="J95" s="193">
        <f t="shared" si="1"/>
        <v>0</v>
      </c>
    </row>
    <row r="96" spans="1:10" ht="15">
      <c r="A96" s="217"/>
      <c r="B96" s="218"/>
      <c r="C96" s="218"/>
      <c r="D96" s="218"/>
      <c r="E96" s="218"/>
      <c r="F96" s="260"/>
      <c r="G96" s="224"/>
      <c r="H96" s="260"/>
      <c r="I96" s="261"/>
      <c r="J96" s="193">
        <f t="shared" si="1"/>
        <v>0</v>
      </c>
    </row>
    <row r="97" spans="1:10" ht="15">
      <c r="A97" s="217"/>
      <c r="B97" s="218"/>
      <c r="C97" s="218"/>
      <c r="D97" s="218"/>
      <c r="E97" s="218"/>
      <c r="F97" s="260"/>
      <c r="G97" s="224"/>
      <c r="H97" s="260"/>
      <c r="I97" s="261"/>
      <c r="J97" s="193">
        <f t="shared" si="1"/>
        <v>0</v>
      </c>
    </row>
    <row r="98" spans="1:10" ht="15">
      <c r="A98" s="217"/>
      <c r="B98" s="218"/>
      <c r="C98" s="218"/>
      <c r="D98" s="218"/>
      <c r="E98" s="218"/>
      <c r="F98" s="260"/>
      <c r="G98" s="224"/>
      <c r="H98" s="260"/>
      <c r="I98" s="261"/>
      <c r="J98" s="193">
        <f t="shared" si="1"/>
        <v>0</v>
      </c>
    </row>
    <row r="99" spans="1:10" ht="15">
      <c r="A99" s="217"/>
      <c r="B99" s="218"/>
      <c r="C99" s="218"/>
      <c r="D99" s="218"/>
      <c r="E99" s="218"/>
      <c r="F99" s="260"/>
      <c r="G99" s="224"/>
      <c r="H99" s="260"/>
      <c r="I99" s="261"/>
      <c r="J99" s="193">
        <f t="shared" si="1"/>
        <v>0</v>
      </c>
    </row>
    <row r="100" spans="1:10" ht="15">
      <c r="A100" s="217"/>
      <c r="B100" s="218"/>
      <c r="C100" s="218"/>
      <c r="D100" s="218"/>
      <c r="E100" s="218"/>
      <c r="F100" s="260"/>
      <c r="G100" s="224"/>
      <c r="H100" s="260"/>
      <c r="I100" s="261"/>
      <c r="J100" s="193">
        <f t="shared" si="1"/>
        <v>0</v>
      </c>
    </row>
    <row r="101" spans="1:10" ht="15">
      <c r="A101" s="217"/>
      <c r="B101" s="218"/>
      <c r="C101" s="218"/>
      <c r="D101" s="218"/>
      <c r="E101" s="218"/>
      <c r="F101" s="260"/>
      <c r="G101" s="224"/>
      <c r="H101" s="260"/>
      <c r="I101" s="261"/>
      <c r="J101" s="193">
        <f t="shared" si="1"/>
        <v>0</v>
      </c>
    </row>
    <row r="102" spans="1:10" ht="15">
      <c r="A102" s="217"/>
      <c r="B102" s="218"/>
      <c r="C102" s="218"/>
      <c r="D102" s="218"/>
      <c r="E102" s="218"/>
      <c r="F102" s="260"/>
      <c r="G102" s="224"/>
      <c r="H102" s="260"/>
      <c r="I102" s="261"/>
      <c r="J102" s="193">
        <f t="shared" si="1"/>
        <v>0</v>
      </c>
    </row>
    <row r="103" spans="1:10" ht="15">
      <c r="A103" s="217"/>
      <c r="B103" s="218"/>
      <c r="C103" s="218"/>
      <c r="D103" s="218"/>
      <c r="E103" s="218"/>
      <c r="F103" s="260"/>
      <c r="G103" s="224"/>
      <c r="H103" s="260"/>
      <c r="I103" s="261"/>
      <c r="J103" s="193">
        <f t="shared" si="1"/>
        <v>0</v>
      </c>
    </row>
    <row r="104" spans="1:10" ht="15">
      <c r="A104" s="217"/>
      <c r="B104" s="218"/>
      <c r="C104" s="218"/>
      <c r="D104" s="218"/>
      <c r="E104" s="218"/>
      <c r="F104" s="260"/>
      <c r="G104" s="224"/>
      <c r="H104" s="260"/>
      <c r="I104" s="261"/>
      <c r="J104" s="193">
        <f t="shared" si="1"/>
        <v>0</v>
      </c>
    </row>
    <row r="105" spans="1:10" ht="15">
      <c r="A105" s="217"/>
      <c r="B105" s="218"/>
      <c r="C105" s="218"/>
      <c r="D105" s="218"/>
      <c r="E105" s="218"/>
      <c r="F105" s="260"/>
      <c r="G105" s="224"/>
      <c r="H105" s="260"/>
      <c r="I105" s="261"/>
      <c r="J105" s="193">
        <f t="shared" si="1"/>
        <v>0</v>
      </c>
    </row>
    <row r="106" spans="1:10" ht="15">
      <c r="A106" s="217"/>
      <c r="B106" s="218"/>
      <c r="C106" s="218"/>
      <c r="D106" s="218"/>
      <c r="E106" s="218"/>
      <c r="F106" s="260"/>
      <c r="G106" s="224"/>
      <c r="H106" s="260"/>
      <c r="I106" s="261"/>
      <c r="J106" s="193">
        <f t="shared" si="1"/>
        <v>0</v>
      </c>
    </row>
    <row r="107" spans="1:10" ht="15">
      <c r="A107" s="217"/>
      <c r="B107" s="218"/>
      <c r="C107" s="218"/>
      <c r="D107" s="218"/>
      <c r="E107" s="218"/>
      <c r="F107" s="260"/>
      <c r="G107" s="224"/>
      <c r="H107" s="260"/>
      <c r="I107" s="261"/>
      <c r="J107" s="193">
        <f t="shared" si="1"/>
        <v>0</v>
      </c>
    </row>
    <row r="108" spans="1:10" ht="15">
      <c r="A108" s="217"/>
      <c r="B108" s="218"/>
      <c r="C108" s="218"/>
      <c r="D108" s="218"/>
      <c r="E108" s="218"/>
      <c r="F108" s="260"/>
      <c r="G108" s="224"/>
      <c r="H108" s="260"/>
      <c r="I108" s="261"/>
      <c r="J108" s="193">
        <f t="shared" si="1"/>
        <v>0</v>
      </c>
    </row>
    <row r="109" spans="1:10" ht="15">
      <c r="A109" s="217"/>
      <c r="B109" s="218"/>
      <c r="C109" s="218"/>
      <c r="D109" s="218"/>
      <c r="E109" s="218"/>
      <c r="F109" s="260"/>
      <c r="G109" s="224"/>
      <c r="H109" s="260"/>
      <c r="I109" s="261"/>
      <c r="J109" s="193">
        <f t="shared" si="1"/>
        <v>0</v>
      </c>
    </row>
    <row r="110" spans="1:10" ht="15">
      <c r="A110" s="217"/>
      <c r="B110" s="218"/>
      <c r="C110" s="218"/>
      <c r="D110" s="218"/>
      <c r="E110" s="218"/>
      <c r="F110" s="260"/>
      <c r="G110" s="224"/>
      <c r="H110" s="260"/>
      <c r="I110" s="261"/>
      <c r="J110" s="193">
        <f t="shared" si="1"/>
        <v>0</v>
      </c>
    </row>
    <row r="111" spans="1:10" ht="15">
      <c r="A111" s="217"/>
      <c r="B111" s="218"/>
      <c r="C111" s="218"/>
      <c r="D111" s="218"/>
      <c r="E111" s="218"/>
      <c r="F111" s="260"/>
      <c r="G111" s="224"/>
      <c r="H111" s="260"/>
      <c r="I111" s="261"/>
      <c r="J111" s="193">
        <f t="shared" si="1"/>
        <v>0</v>
      </c>
    </row>
    <row r="112" spans="1:10" ht="15">
      <c r="A112" s="217"/>
      <c r="B112" s="218"/>
      <c r="C112" s="218"/>
      <c r="D112" s="218"/>
      <c r="E112" s="218"/>
      <c r="F112" s="260"/>
      <c r="G112" s="224"/>
      <c r="H112" s="260"/>
      <c r="I112" s="261"/>
      <c r="J112" s="193">
        <f t="shared" si="1"/>
        <v>0</v>
      </c>
    </row>
    <row r="113" spans="1:10" ht="15">
      <c r="A113" s="217"/>
      <c r="B113" s="218"/>
      <c r="C113" s="218"/>
      <c r="D113" s="218"/>
      <c r="E113" s="218"/>
      <c r="F113" s="260"/>
      <c r="G113" s="224"/>
      <c r="H113" s="260"/>
      <c r="I113" s="261"/>
      <c r="J113" s="193">
        <f t="shared" si="1"/>
        <v>0</v>
      </c>
    </row>
    <row r="114" spans="1:10" ht="15">
      <c r="A114" s="217"/>
      <c r="B114" s="218"/>
      <c r="C114" s="218"/>
      <c r="D114" s="218"/>
      <c r="E114" s="218"/>
      <c r="F114" s="260"/>
      <c r="G114" s="224"/>
      <c r="H114" s="260"/>
      <c r="I114" s="261"/>
      <c r="J114" s="193">
        <f t="shared" si="1"/>
        <v>0</v>
      </c>
    </row>
    <row r="115" spans="1:10" ht="15">
      <c r="A115" s="217"/>
      <c r="B115" s="218"/>
      <c r="C115" s="218"/>
      <c r="D115" s="218"/>
      <c r="E115" s="218"/>
      <c r="F115" s="260"/>
      <c r="G115" s="224"/>
      <c r="H115" s="260"/>
      <c r="I115" s="261"/>
      <c r="J115" s="193">
        <f t="shared" si="1"/>
        <v>0</v>
      </c>
    </row>
    <row r="116" spans="1:10" ht="15">
      <c r="A116" s="217"/>
      <c r="B116" s="218"/>
      <c r="C116" s="218"/>
      <c r="D116" s="218"/>
      <c r="E116" s="218"/>
      <c r="F116" s="260"/>
      <c r="G116" s="224"/>
      <c r="H116" s="260"/>
      <c r="I116" s="261"/>
      <c r="J116" s="193">
        <f t="shared" si="1"/>
        <v>0</v>
      </c>
    </row>
    <row r="117" spans="1:10" ht="15">
      <c r="A117" s="217"/>
      <c r="B117" s="218"/>
      <c r="C117" s="218"/>
      <c r="D117" s="218"/>
      <c r="E117" s="218"/>
      <c r="F117" s="260"/>
      <c r="G117" s="224"/>
      <c r="H117" s="260"/>
      <c r="I117" s="261"/>
      <c r="J117" s="193">
        <f t="shared" si="1"/>
        <v>0</v>
      </c>
    </row>
    <row r="118" spans="1:10" ht="15">
      <c r="A118" s="217"/>
      <c r="B118" s="218"/>
      <c r="C118" s="218"/>
      <c r="D118" s="218"/>
      <c r="E118" s="218"/>
      <c r="F118" s="260"/>
      <c r="G118" s="224"/>
      <c r="H118" s="260"/>
      <c r="I118" s="261"/>
      <c r="J118" s="193">
        <f t="shared" si="1"/>
        <v>0</v>
      </c>
    </row>
    <row r="119" spans="1:10" ht="15">
      <c r="A119" s="217"/>
      <c r="B119" s="218"/>
      <c r="C119" s="218"/>
      <c r="D119" s="218"/>
      <c r="E119" s="218"/>
      <c r="F119" s="260"/>
      <c r="G119" s="224"/>
      <c r="H119" s="260"/>
      <c r="I119" s="261"/>
      <c r="J119" s="193">
        <f t="shared" si="1"/>
        <v>0</v>
      </c>
    </row>
    <row r="120" spans="1:10" ht="15">
      <c r="A120" s="217"/>
      <c r="B120" s="218"/>
      <c r="C120" s="218"/>
      <c r="D120" s="218"/>
      <c r="E120" s="218"/>
      <c r="F120" s="260"/>
      <c r="G120" s="224"/>
      <c r="H120" s="260"/>
      <c r="I120" s="261"/>
      <c r="J120" s="193">
        <f t="shared" si="1"/>
        <v>0</v>
      </c>
    </row>
    <row r="121" spans="1:10" ht="15">
      <c r="A121" s="217"/>
      <c r="B121" s="218"/>
      <c r="C121" s="218"/>
      <c r="D121" s="218"/>
      <c r="E121" s="218"/>
      <c r="F121" s="260"/>
      <c r="G121" s="224"/>
      <c r="H121" s="260"/>
      <c r="I121" s="261"/>
      <c r="J121" s="193">
        <f t="shared" si="1"/>
        <v>0</v>
      </c>
    </row>
    <row r="122" spans="1:10" ht="15">
      <c r="A122" s="217"/>
      <c r="B122" s="218"/>
      <c r="C122" s="218"/>
      <c r="D122" s="218"/>
      <c r="E122" s="218"/>
      <c r="F122" s="260"/>
      <c r="G122" s="224"/>
      <c r="H122" s="260"/>
      <c r="I122" s="261"/>
      <c r="J122" s="193">
        <f t="shared" si="1"/>
        <v>0</v>
      </c>
    </row>
    <row r="123" spans="1:10" ht="15">
      <c r="A123" s="217"/>
      <c r="B123" s="218"/>
      <c r="C123" s="218"/>
      <c r="D123" s="218"/>
      <c r="E123" s="218"/>
      <c r="F123" s="260"/>
      <c r="G123" s="224"/>
      <c r="H123" s="260"/>
      <c r="I123" s="261"/>
      <c r="J123" s="193">
        <f t="shared" si="1"/>
        <v>0</v>
      </c>
    </row>
    <row r="124" spans="1:10" ht="15">
      <c r="A124" s="217"/>
      <c r="B124" s="218"/>
      <c r="C124" s="218"/>
      <c r="D124" s="218"/>
      <c r="E124" s="218"/>
      <c r="F124" s="260"/>
      <c r="G124" s="224"/>
      <c r="H124" s="260"/>
      <c r="I124" s="261"/>
      <c r="J124" s="193">
        <f t="shared" si="1"/>
        <v>0</v>
      </c>
    </row>
    <row r="125" spans="1:10" ht="15">
      <c r="A125" s="217"/>
      <c r="B125" s="218"/>
      <c r="C125" s="218"/>
      <c r="D125" s="218"/>
      <c r="E125" s="218"/>
      <c r="F125" s="260"/>
      <c r="G125" s="224"/>
      <c r="H125" s="260"/>
      <c r="I125" s="261"/>
      <c r="J125" s="193">
        <f t="shared" si="1"/>
        <v>0</v>
      </c>
    </row>
    <row r="126" spans="1:10" ht="15">
      <c r="A126" s="217"/>
      <c r="B126" s="218"/>
      <c r="C126" s="218"/>
      <c r="D126" s="218"/>
      <c r="E126" s="218"/>
      <c r="F126" s="260"/>
      <c r="G126" s="224"/>
      <c r="H126" s="260"/>
      <c r="I126" s="261"/>
      <c r="J126" s="193">
        <f t="shared" si="1"/>
        <v>0</v>
      </c>
    </row>
    <row r="127" spans="1:10" ht="15">
      <c r="A127" s="217"/>
      <c r="B127" s="218"/>
      <c r="C127" s="218"/>
      <c r="D127" s="218"/>
      <c r="E127" s="218"/>
      <c r="F127" s="260"/>
      <c r="G127" s="224"/>
      <c r="H127" s="260"/>
      <c r="I127" s="261"/>
      <c r="J127" s="193">
        <f t="shared" si="1"/>
        <v>0</v>
      </c>
    </row>
    <row r="128" spans="1:10" ht="15">
      <c r="A128" s="217"/>
      <c r="B128" s="218"/>
      <c r="C128" s="218"/>
      <c r="D128" s="218"/>
      <c r="E128" s="218"/>
      <c r="F128" s="260"/>
      <c r="G128" s="224"/>
      <c r="H128" s="260"/>
      <c r="I128" s="261"/>
      <c r="J128" s="193">
        <f t="shared" si="1"/>
        <v>0</v>
      </c>
    </row>
    <row r="129" spans="1:10" ht="15">
      <c r="A129" s="217"/>
      <c r="B129" s="218"/>
      <c r="C129" s="218"/>
      <c r="D129" s="218"/>
      <c r="E129" s="218"/>
      <c r="F129" s="260"/>
      <c r="G129" s="224"/>
      <c r="H129" s="260"/>
      <c r="I129" s="261"/>
      <c r="J129" s="193">
        <f t="shared" si="1"/>
        <v>0</v>
      </c>
    </row>
    <row r="130" spans="1:10" ht="15">
      <c r="A130" s="217"/>
      <c r="B130" s="218"/>
      <c r="C130" s="218"/>
      <c r="D130" s="218"/>
      <c r="E130" s="218"/>
      <c r="F130" s="260"/>
      <c r="G130" s="224"/>
      <c r="H130" s="260"/>
      <c r="I130" s="261"/>
      <c r="J130" s="193">
        <f t="shared" si="1"/>
        <v>0</v>
      </c>
    </row>
    <row r="131" spans="1:10" ht="15">
      <c r="A131" s="217"/>
      <c r="B131" s="218"/>
      <c r="C131" s="218"/>
      <c r="D131" s="218"/>
      <c r="E131" s="218"/>
      <c r="F131" s="260"/>
      <c r="G131" s="224"/>
      <c r="H131" s="260"/>
      <c r="I131" s="261"/>
      <c r="J131" s="193">
        <f t="shared" si="1"/>
        <v>0</v>
      </c>
    </row>
    <row r="132" spans="1:10" ht="15">
      <c r="A132" s="217"/>
      <c r="B132" s="218"/>
      <c r="C132" s="218"/>
      <c r="D132" s="218"/>
      <c r="E132" s="218"/>
      <c r="F132" s="260"/>
      <c r="G132" s="224"/>
      <c r="H132" s="260"/>
      <c r="I132" s="261"/>
      <c r="J132" s="193">
        <f t="shared" si="1"/>
        <v>0</v>
      </c>
    </row>
    <row r="133" spans="1:10" ht="15">
      <c r="A133" s="217"/>
      <c r="B133" s="218"/>
      <c r="C133" s="218"/>
      <c r="D133" s="218"/>
      <c r="E133" s="218"/>
      <c r="F133" s="260"/>
      <c r="G133" s="224"/>
      <c r="H133" s="260"/>
      <c r="I133" s="261"/>
      <c r="J133" s="193">
        <f t="shared" si="1"/>
        <v>0</v>
      </c>
    </row>
    <row r="134" spans="1:10" ht="15">
      <c r="A134" s="217"/>
      <c r="B134" s="218"/>
      <c r="C134" s="218"/>
      <c r="D134" s="218"/>
      <c r="E134" s="218"/>
      <c r="F134" s="260"/>
      <c r="G134" s="224"/>
      <c r="H134" s="260"/>
      <c r="I134" s="261"/>
      <c r="J134" s="193">
        <f t="shared" si="1"/>
        <v>0</v>
      </c>
    </row>
    <row r="135" spans="1:10" ht="15">
      <c r="A135" s="217"/>
      <c r="B135" s="218"/>
      <c r="C135" s="218"/>
      <c r="D135" s="218"/>
      <c r="E135" s="218"/>
      <c r="F135" s="260"/>
      <c r="G135" s="224"/>
      <c r="H135" s="260"/>
      <c r="I135" s="261"/>
      <c r="J135" s="193">
        <f t="shared" si="1"/>
        <v>0</v>
      </c>
    </row>
    <row r="136" spans="1:10" ht="15">
      <c r="A136" s="217"/>
      <c r="B136" s="218"/>
      <c r="C136" s="218"/>
      <c r="D136" s="218"/>
      <c r="E136" s="218"/>
      <c r="F136" s="260"/>
      <c r="G136" s="224"/>
      <c r="H136" s="260"/>
      <c r="I136" s="261"/>
      <c r="J136" s="193">
        <f t="shared" si="1"/>
        <v>0</v>
      </c>
    </row>
    <row r="137" spans="1:10" ht="15">
      <c r="A137" s="217"/>
      <c r="B137" s="218"/>
      <c r="C137" s="218"/>
      <c r="D137" s="218"/>
      <c r="E137" s="218"/>
      <c r="F137" s="260"/>
      <c r="G137" s="224"/>
      <c r="H137" s="260"/>
      <c r="I137" s="261"/>
      <c r="J137" s="193">
        <f t="shared" si="1"/>
        <v>0</v>
      </c>
    </row>
    <row r="138" spans="1:10" ht="15">
      <c r="A138" s="217"/>
      <c r="B138" s="218"/>
      <c r="C138" s="218"/>
      <c r="D138" s="218"/>
      <c r="E138" s="218"/>
      <c r="F138" s="260"/>
      <c r="G138" s="224"/>
      <c r="H138" s="260"/>
      <c r="I138" s="261"/>
      <c r="J138" s="193">
        <f t="shared" si="1"/>
        <v>0</v>
      </c>
    </row>
    <row r="139" spans="1:10" ht="15">
      <c r="A139" s="217"/>
      <c r="B139" s="218"/>
      <c r="C139" s="218"/>
      <c r="D139" s="218"/>
      <c r="E139" s="218"/>
      <c r="F139" s="260"/>
      <c r="G139" s="224"/>
      <c r="H139" s="260"/>
      <c r="I139" s="261"/>
      <c r="J139" s="193">
        <f t="shared" si="1"/>
        <v>0</v>
      </c>
    </row>
    <row r="140" spans="1:10" ht="15">
      <c r="A140" s="217"/>
      <c r="B140" s="218"/>
      <c r="C140" s="218"/>
      <c r="D140" s="218"/>
      <c r="E140" s="218"/>
      <c r="F140" s="260"/>
      <c r="G140" s="224"/>
      <c r="H140" s="260"/>
      <c r="I140" s="261"/>
      <c r="J140" s="193">
        <f t="shared" si="1"/>
        <v>0</v>
      </c>
    </row>
    <row r="141" spans="1:10" ht="15">
      <c r="A141" s="217"/>
      <c r="B141" s="218"/>
      <c r="C141" s="218"/>
      <c r="D141" s="218"/>
      <c r="E141" s="218"/>
      <c r="F141" s="260"/>
      <c r="G141" s="224"/>
      <c r="H141" s="260"/>
      <c r="I141" s="261"/>
      <c r="J141" s="193">
        <f t="shared" si="1"/>
        <v>0</v>
      </c>
    </row>
    <row r="142" spans="1:10" ht="15">
      <c r="A142" s="217"/>
      <c r="B142" s="218"/>
      <c r="C142" s="218"/>
      <c r="D142" s="218"/>
      <c r="E142" s="218"/>
      <c r="F142" s="260"/>
      <c r="G142" s="224"/>
      <c r="H142" s="260"/>
      <c r="I142" s="261"/>
      <c r="J142" s="193">
        <f t="shared" si="1"/>
        <v>0</v>
      </c>
    </row>
    <row r="143" spans="1:10" ht="15">
      <c r="A143" s="217"/>
      <c r="B143" s="218"/>
      <c r="C143" s="218"/>
      <c r="D143" s="218"/>
      <c r="E143" s="218"/>
      <c r="F143" s="260"/>
      <c r="G143" s="224"/>
      <c r="H143" s="260"/>
      <c r="I143" s="261"/>
      <c r="J143" s="193">
        <f t="shared" si="1"/>
        <v>0</v>
      </c>
    </row>
    <row r="144" spans="1:10" ht="15">
      <c r="A144" s="217"/>
      <c r="B144" s="218"/>
      <c r="C144" s="218"/>
      <c r="D144" s="218"/>
      <c r="E144" s="218"/>
      <c r="F144" s="260"/>
      <c r="G144" s="224"/>
      <c r="H144" s="260"/>
      <c r="I144" s="261"/>
      <c r="J144" s="193">
        <f t="shared" si="1"/>
        <v>0</v>
      </c>
    </row>
    <row r="145" spans="1:10" ht="15">
      <c r="A145" s="217"/>
      <c r="B145" s="218"/>
      <c r="C145" s="218"/>
      <c r="D145" s="218"/>
      <c r="E145" s="218"/>
      <c r="F145" s="260"/>
      <c r="G145" s="224"/>
      <c r="H145" s="260"/>
      <c r="I145" s="261"/>
      <c r="J145" s="193">
        <f t="shared" si="1"/>
        <v>0</v>
      </c>
    </row>
    <row r="146" spans="1:10" ht="15">
      <c r="A146" s="217"/>
      <c r="B146" s="218"/>
      <c r="C146" s="218"/>
      <c r="D146" s="218"/>
      <c r="E146" s="218"/>
      <c r="F146" s="260"/>
      <c r="G146" s="224"/>
      <c r="H146" s="260"/>
      <c r="I146" s="261"/>
      <c r="J146" s="193">
        <f t="shared" si="1"/>
        <v>0</v>
      </c>
    </row>
    <row r="147" spans="1:10" ht="15">
      <c r="A147" s="217"/>
      <c r="B147" s="218"/>
      <c r="C147" s="218"/>
      <c r="D147" s="218"/>
      <c r="E147" s="218"/>
      <c r="F147" s="260"/>
      <c r="G147" s="224"/>
      <c r="H147" s="260"/>
      <c r="I147" s="261"/>
      <c r="J147" s="193">
        <f t="shared" si="1"/>
        <v>0</v>
      </c>
    </row>
    <row r="148" spans="1:10" ht="15">
      <c r="A148" s="217"/>
      <c r="B148" s="218"/>
      <c r="C148" s="218"/>
      <c r="D148" s="218"/>
      <c r="E148" s="218"/>
      <c r="F148" s="260"/>
      <c r="G148" s="224"/>
      <c r="H148" s="260"/>
      <c r="I148" s="261"/>
      <c r="J148" s="193">
        <f t="shared" si="1"/>
        <v>0</v>
      </c>
    </row>
    <row r="149" spans="1:10" ht="15">
      <c r="A149" s="217"/>
      <c r="B149" s="218"/>
      <c r="C149" s="218"/>
      <c r="D149" s="218"/>
      <c r="E149" s="218"/>
      <c r="F149" s="260"/>
      <c r="G149" s="224"/>
      <c r="H149" s="260"/>
      <c r="I149" s="261"/>
      <c r="J149" s="193">
        <f t="shared" si="1"/>
        <v>0</v>
      </c>
    </row>
    <row r="150" spans="1:10" ht="15">
      <c r="A150" s="217"/>
      <c r="B150" s="218"/>
      <c r="C150" s="218"/>
      <c r="D150" s="218"/>
      <c r="E150" s="218"/>
      <c r="F150" s="260"/>
      <c r="G150" s="224"/>
      <c r="H150" s="260"/>
      <c r="I150" s="261"/>
      <c r="J150" s="193">
        <f t="shared" si="1"/>
        <v>0</v>
      </c>
    </row>
    <row r="151" spans="1:10" ht="15">
      <c r="A151" s="217"/>
      <c r="B151" s="218"/>
      <c r="C151" s="218"/>
      <c r="D151" s="218"/>
      <c r="E151" s="218"/>
      <c r="F151" s="260"/>
      <c r="G151" s="224"/>
      <c r="H151" s="260"/>
      <c r="I151" s="261"/>
      <c r="J151" s="193">
        <f t="shared" si="1"/>
        <v>0</v>
      </c>
    </row>
    <row r="152" spans="1:10" ht="15">
      <c r="A152" s="217"/>
      <c r="B152" s="218"/>
      <c r="C152" s="218"/>
      <c r="D152" s="218"/>
      <c r="E152" s="218"/>
      <c r="F152" s="260"/>
      <c r="G152" s="224"/>
      <c r="H152" s="260"/>
      <c r="I152" s="261"/>
      <c r="J152" s="193">
        <f t="shared" si="1"/>
        <v>0</v>
      </c>
    </row>
    <row r="153" spans="1:10" ht="15">
      <c r="A153" s="217"/>
      <c r="B153" s="218"/>
      <c r="C153" s="218"/>
      <c r="D153" s="218"/>
      <c r="E153" s="218"/>
      <c r="F153" s="260"/>
      <c r="G153" s="224"/>
      <c r="H153" s="260"/>
      <c r="I153" s="261"/>
      <c r="J153" s="193">
        <f t="shared" si="1"/>
        <v>0</v>
      </c>
    </row>
    <row r="154" spans="1:10" ht="15">
      <c r="A154" s="217"/>
      <c r="B154" s="218"/>
      <c r="C154" s="218"/>
      <c r="D154" s="218"/>
      <c r="E154" s="218"/>
      <c r="F154" s="260"/>
      <c r="G154" s="224"/>
      <c r="H154" s="260"/>
      <c r="I154" s="261"/>
      <c r="J154" s="193">
        <f t="shared" si="1"/>
        <v>0</v>
      </c>
    </row>
    <row r="155" spans="1:10" ht="15">
      <c r="A155" s="217"/>
      <c r="B155" s="218"/>
      <c r="C155" s="218"/>
      <c r="D155" s="218"/>
      <c r="E155" s="218"/>
      <c r="F155" s="260"/>
      <c r="G155" s="224"/>
      <c r="H155" s="260"/>
      <c r="I155" s="261"/>
      <c r="J155" s="193">
        <f t="shared" si="1"/>
        <v>0</v>
      </c>
    </row>
    <row r="156" spans="1:10" ht="15">
      <c r="A156" s="217"/>
      <c r="B156" s="218"/>
      <c r="C156" s="218"/>
      <c r="D156" s="218"/>
      <c r="E156" s="218"/>
      <c r="F156" s="260"/>
      <c r="G156" s="224"/>
      <c r="H156" s="260"/>
      <c r="I156" s="261"/>
      <c r="J156" s="193">
        <f t="shared" si="1"/>
        <v>0</v>
      </c>
    </row>
    <row r="157" spans="1:10" ht="15">
      <c r="A157" s="217"/>
      <c r="B157" s="218"/>
      <c r="C157" s="218"/>
      <c r="D157" s="218"/>
      <c r="E157" s="218"/>
      <c r="F157" s="260"/>
      <c r="G157" s="224"/>
      <c r="H157" s="260"/>
      <c r="I157" s="261"/>
      <c r="J157" s="193">
        <f t="shared" si="1"/>
        <v>0</v>
      </c>
    </row>
    <row r="158" spans="1:10" ht="15">
      <c r="A158" s="217"/>
      <c r="B158" s="218"/>
      <c r="C158" s="218"/>
      <c r="D158" s="218"/>
      <c r="E158" s="218"/>
      <c r="F158" s="260"/>
      <c r="G158" s="224"/>
      <c r="H158" s="260"/>
      <c r="I158" s="261"/>
      <c r="J158" s="193">
        <f t="shared" si="1"/>
        <v>0</v>
      </c>
    </row>
    <row r="159" spans="1:10" ht="15">
      <c r="A159" s="217"/>
      <c r="B159" s="218"/>
      <c r="C159" s="218"/>
      <c r="D159" s="218"/>
      <c r="E159" s="218"/>
      <c r="F159" s="260"/>
      <c r="G159" s="224"/>
      <c r="H159" s="260"/>
      <c r="I159" s="261"/>
      <c r="J159" s="193">
        <f t="shared" si="1"/>
        <v>0</v>
      </c>
    </row>
    <row r="160" spans="1:10" ht="15">
      <c r="A160" s="217"/>
      <c r="B160" s="218"/>
      <c r="C160" s="218"/>
      <c r="D160" s="218"/>
      <c r="E160" s="218"/>
      <c r="F160" s="260"/>
      <c r="G160" s="224"/>
      <c r="H160" s="260"/>
      <c r="I160" s="261"/>
      <c r="J160" s="193">
        <f t="shared" si="1"/>
        <v>0</v>
      </c>
    </row>
    <row r="161" spans="1:10" ht="15">
      <c r="A161" s="217"/>
      <c r="B161" s="218"/>
      <c r="C161" s="218"/>
      <c r="D161" s="218"/>
      <c r="E161" s="218"/>
      <c r="F161" s="260"/>
      <c r="G161" s="224"/>
      <c r="H161" s="260"/>
      <c r="I161" s="261"/>
      <c r="J161" s="193">
        <f t="shared" si="1"/>
        <v>0</v>
      </c>
    </row>
    <row r="162" spans="1:10" ht="15">
      <c r="A162" s="217"/>
      <c r="B162" s="218"/>
      <c r="C162" s="218"/>
      <c r="D162" s="218"/>
      <c r="E162" s="218"/>
      <c r="F162" s="260"/>
      <c r="G162" s="224"/>
      <c r="H162" s="260"/>
      <c r="I162" s="261"/>
      <c r="J162" s="193">
        <f t="shared" si="1"/>
        <v>0</v>
      </c>
    </row>
    <row r="163" spans="1:10" ht="15">
      <c r="A163" s="217"/>
      <c r="B163" s="218"/>
      <c r="C163" s="218"/>
      <c r="D163" s="218"/>
      <c r="E163" s="218"/>
      <c r="F163" s="260"/>
      <c r="G163" s="224"/>
      <c r="H163" s="260"/>
      <c r="I163" s="261"/>
      <c r="J163" s="193">
        <f t="shared" si="1"/>
        <v>0</v>
      </c>
    </row>
    <row r="164" spans="1:10" ht="15">
      <c r="A164" s="217"/>
      <c r="B164" s="218"/>
      <c r="C164" s="218"/>
      <c r="D164" s="218"/>
      <c r="E164" s="218"/>
      <c r="F164" s="260"/>
      <c r="G164" s="224"/>
      <c r="H164" s="260"/>
      <c r="I164" s="261"/>
      <c r="J164" s="193">
        <f t="shared" si="1"/>
        <v>0</v>
      </c>
    </row>
    <row r="165" spans="1:10" ht="15">
      <c r="A165" s="217"/>
      <c r="B165" s="218"/>
      <c r="C165" s="218"/>
      <c r="D165" s="218"/>
      <c r="E165" s="218"/>
      <c r="F165" s="260"/>
      <c r="G165" s="224"/>
      <c r="H165" s="260"/>
      <c r="I165" s="261"/>
      <c r="J165" s="193">
        <f t="shared" si="1"/>
        <v>0</v>
      </c>
    </row>
    <row r="166" spans="1:10" ht="15">
      <c r="A166" s="217"/>
      <c r="B166" s="218"/>
      <c r="C166" s="218"/>
      <c r="D166" s="218"/>
      <c r="E166" s="218"/>
      <c r="F166" s="260"/>
      <c r="G166" s="224"/>
      <c r="H166" s="260"/>
      <c r="I166" s="261"/>
      <c r="J166" s="193">
        <f t="shared" si="1"/>
        <v>0</v>
      </c>
    </row>
    <row r="167" spans="1:10" ht="15">
      <c r="A167" s="217"/>
      <c r="B167" s="218"/>
      <c r="C167" s="218"/>
      <c r="D167" s="218"/>
      <c r="E167" s="218"/>
      <c r="F167" s="260"/>
      <c r="G167" s="224"/>
      <c r="H167" s="260"/>
      <c r="I167" s="261"/>
      <c r="J167" s="193">
        <f t="shared" si="1"/>
        <v>0</v>
      </c>
    </row>
    <row r="168" spans="1:10" ht="15">
      <c r="A168" s="217"/>
      <c r="B168" s="218"/>
      <c r="C168" s="218"/>
      <c r="D168" s="218"/>
      <c r="E168" s="218"/>
      <c r="F168" s="260"/>
      <c r="G168" s="224"/>
      <c r="H168" s="260"/>
      <c r="I168" s="261"/>
      <c r="J168" s="193">
        <f t="shared" si="1"/>
        <v>0</v>
      </c>
    </row>
    <row r="169" spans="1:10" ht="15">
      <c r="A169" s="217"/>
      <c r="B169" s="218"/>
      <c r="C169" s="218"/>
      <c r="D169" s="218"/>
      <c r="E169" s="218"/>
      <c r="F169" s="260"/>
      <c r="G169" s="224"/>
      <c r="H169" s="260"/>
      <c r="I169" s="261"/>
      <c r="J169" s="193">
        <f t="shared" si="1"/>
        <v>0</v>
      </c>
    </row>
    <row r="170" spans="1:10" ht="15">
      <c r="A170" s="217"/>
      <c r="B170" s="218"/>
      <c r="C170" s="218"/>
      <c r="D170" s="218"/>
      <c r="E170" s="218"/>
      <c r="F170" s="260"/>
      <c r="G170" s="224"/>
      <c r="H170" s="260"/>
      <c r="I170" s="261"/>
      <c r="J170" s="193">
        <f t="shared" si="1"/>
        <v>0</v>
      </c>
    </row>
    <row r="171" spans="1:10" ht="15">
      <c r="A171" s="217"/>
      <c r="B171" s="218"/>
      <c r="C171" s="218"/>
      <c r="D171" s="218"/>
      <c r="E171" s="218"/>
      <c r="F171" s="260"/>
      <c r="G171" s="224"/>
      <c r="H171" s="260"/>
      <c r="I171" s="261"/>
      <c r="J171" s="193">
        <f t="shared" si="1"/>
        <v>0</v>
      </c>
    </row>
    <row r="172" spans="1:10" ht="15">
      <c r="A172" s="217"/>
      <c r="B172" s="218"/>
      <c r="C172" s="218"/>
      <c r="D172" s="218"/>
      <c r="E172" s="218"/>
      <c r="F172" s="260"/>
      <c r="G172" s="224"/>
      <c r="H172" s="260"/>
      <c r="I172" s="261"/>
      <c r="J172" s="193">
        <f t="shared" si="1"/>
        <v>0</v>
      </c>
    </row>
    <row r="173" spans="1:10" ht="15">
      <c r="A173" s="217"/>
      <c r="B173" s="218"/>
      <c r="C173" s="218"/>
      <c r="D173" s="218"/>
      <c r="E173" s="218"/>
      <c r="F173" s="260"/>
      <c r="G173" s="224"/>
      <c r="H173" s="260"/>
      <c r="I173" s="261"/>
      <c r="J173" s="193">
        <f t="shared" si="1"/>
        <v>0</v>
      </c>
    </row>
    <row r="174" spans="1:10" ht="15">
      <c r="A174" s="217"/>
      <c r="B174" s="218"/>
      <c r="C174" s="218"/>
      <c r="D174" s="218"/>
      <c r="E174" s="218"/>
      <c r="F174" s="260"/>
      <c r="G174" s="224"/>
      <c r="H174" s="260"/>
      <c r="I174" s="261"/>
      <c r="J174" s="193">
        <f t="shared" si="1"/>
        <v>0</v>
      </c>
    </row>
    <row r="175" spans="1:10" ht="15">
      <c r="A175" s="217"/>
      <c r="B175" s="218"/>
      <c r="C175" s="218"/>
      <c r="D175" s="218"/>
      <c r="E175" s="218"/>
      <c r="F175" s="260"/>
      <c r="G175" s="224"/>
      <c r="H175" s="260"/>
      <c r="I175" s="261"/>
      <c r="J175" s="193">
        <f t="shared" si="1"/>
        <v>0</v>
      </c>
    </row>
    <row r="176" spans="1:10" ht="15">
      <c r="A176" s="217"/>
      <c r="B176" s="218"/>
      <c r="C176" s="218"/>
      <c r="D176" s="218"/>
      <c r="E176" s="218"/>
      <c r="F176" s="260"/>
      <c r="G176" s="224"/>
      <c r="H176" s="260"/>
      <c r="I176" s="261"/>
      <c r="J176" s="193">
        <f t="shared" si="1"/>
        <v>0</v>
      </c>
    </row>
    <row r="177" spans="1:10" ht="15">
      <c r="A177" s="217"/>
      <c r="B177" s="218"/>
      <c r="C177" s="218"/>
      <c r="D177" s="218"/>
      <c r="E177" s="218"/>
      <c r="F177" s="260"/>
      <c r="G177" s="224"/>
      <c r="H177" s="260"/>
      <c r="I177" s="261"/>
      <c r="J177" s="193">
        <f t="shared" si="1"/>
        <v>0</v>
      </c>
    </row>
    <row r="178" spans="1:10" ht="15">
      <c r="A178" s="217"/>
      <c r="B178" s="218"/>
      <c r="C178" s="218"/>
      <c r="D178" s="218"/>
      <c r="E178" s="218"/>
      <c r="F178" s="260"/>
      <c r="G178" s="224"/>
      <c r="H178" s="260"/>
      <c r="I178" s="261"/>
      <c r="J178" s="193">
        <f t="shared" si="1"/>
        <v>0</v>
      </c>
    </row>
    <row r="179" spans="1:10" ht="15">
      <c r="A179" s="217"/>
      <c r="B179" s="218"/>
      <c r="C179" s="218"/>
      <c r="D179" s="218"/>
      <c r="E179" s="218"/>
      <c r="F179" s="260"/>
      <c r="G179" s="224"/>
      <c r="H179" s="260"/>
      <c r="I179" s="261"/>
      <c r="J179" s="193">
        <f t="shared" si="1"/>
        <v>0</v>
      </c>
    </row>
    <row r="180" spans="1:10" ht="15">
      <c r="A180" s="217"/>
      <c r="B180" s="218"/>
      <c r="C180" s="218"/>
      <c r="D180" s="218"/>
      <c r="E180" s="218"/>
      <c r="F180" s="260"/>
      <c r="G180" s="224"/>
      <c r="H180" s="260"/>
      <c r="I180" s="261"/>
      <c r="J180" s="193">
        <f t="shared" si="1"/>
        <v>0</v>
      </c>
    </row>
    <row r="181" spans="1:10" ht="15">
      <c r="A181" s="217"/>
      <c r="B181" s="218"/>
      <c r="C181" s="218"/>
      <c r="D181" s="218"/>
      <c r="E181" s="218"/>
      <c r="F181" s="260"/>
      <c r="G181" s="224"/>
      <c r="H181" s="260"/>
      <c r="I181" s="261"/>
      <c r="J181" s="193">
        <f t="shared" si="1"/>
        <v>0</v>
      </c>
    </row>
    <row r="182" spans="1:10" ht="15">
      <c r="A182" s="217"/>
      <c r="B182" s="218"/>
      <c r="C182" s="218"/>
      <c r="D182" s="218"/>
      <c r="E182" s="218"/>
      <c r="F182" s="260"/>
      <c r="G182" s="224"/>
      <c r="H182" s="260"/>
      <c r="I182" s="261"/>
      <c r="J182" s="193">
        <f t="shared" si="1"/>
        <v>0</v>
      </c>
    </row>
    <row r="183" spans="1:10" ht="15">
      <c r="A183" s="217"/>
      <c r="B183" s="218"/>
      <c r="C183" s="218"/>
      <c r="D183" s="218"/>
      <c r="E183" s="218"/>
      <c r="F183" s="260"/>
      <c r="G183" s="224"/>
      <c r="H183" s="260"/>
      <c r="I183" s="261"/>
      <c r="J183" s="193">
        <f t="shared" si="1"/>
        <v>0</v>
      </c>
    </row>
    <row r="184" spans="1:10" ht="15">
      <c r="A184" s="217"/>
      <c r="B184" s="218"/>
      <c r="C184" s="218"/>
      <c r="D184" s="218"/>
      <c r="E184" s="218"/>
      <c r="F184" s="260"/>
      <c r="G184" s="224"/>
      <c r="H184" s="260"/>
      <c r="I184" s="261"/>
      <c r="J184" s="193">
        <f t="shared" si="1"/>
        <v>0</v>
      </c>
    </row>
    <row r="185" spans="1:10" ht="15">
      <c r="A185" s="217"/>
      <c r="B185" s="218"/>
      <c r="C185" s="218"/>
      <c r="D185" s="218"/>
      <c r="E185" s="218"/>
      <c r="F185" s="260"/>
      <c r="G185" s="224"/>
      <c r="H185" s="260"/>
      <c r="I185" s="261"/>
      <c r="J185" s="193">
        <f t="shared" si="1"/>
        <v>0</v>
      </c>
    </row>
    <row r="186" spans="1:10" ht="15">
      <c r="A186" s="217"/>
      <c r="B186" s="218"/>
      <c r="C186" s="218"/>
      <c r="D186" s="218"/>
      <c r="E186" s="218"/>
      <c r="F186" s="260"/>
      <c r="G186" s="224"/>
      <c r="H186" s="260"/>
      <c r="I186" s="261"/>
      <c r="J186" s="193">
        <f t="shared" si="1"/>
        <v>0</v>
      </c>
    </row>
    <row r="187" spans="1:10" ht="15">
      <c r="A187" s="217"/>
      <c r="B187" s="218"/>
      <c r="C187" s="218"/>
      <c r="D187" s="218"/>
      <c r="E187" s="218"/>
      <c r="F187" s="260"/>
      <c r="G187" s="224"/>
      <c r="H187" s="260"/>
      <c r="I187" s="261"/>
      <c r="J187" s="193">
        <f t="shared" si="1"/>
        <v>0</v>
      </c>
    </row>
    <row r="188" spans="1:10" ht="15">
      <c r="A188" s="217"/>
      <c r="B188" s="218"/>
      <c r="C188" s="218"/>
      <c r="D188" s="218"/>
      <c r="E188" s="218"/>
      <c r="F188" s="260"/>
      <c r="G188" s="224"/>
      <c r="H188" s="260"/>
      <c r="I188" s="261"/>
      <c r="J188" s="193">
        <f t="shared" si="1"/>
        <v>0</v>
      </c>
    </row>
    <row r="189" spans="1:10" ht="15">
      <c r="A189" s="217"/>
      <c r="B189" s="218"/>
      <c r="C189" s="218"/>
      <c r="D189" s="218"/>
      <c r="E189" s="218"/>
      <c r="F189" s="260"/>
      <c r="G189" s="224"/>
      <c r="H189" s="260"/>
      <c r="I189" s="261"/>
      <c r="J189" s="193">
        <f t="shared" si="1"/>
        <v>0</v>
      </c>
    </row>
    <row r="190" spans="1:10" ht="15">
      <c r="A190" s="217"/>
      <c r="B190" s="218"/>
      <c r="C190" s="218"/>
      <c r="D190" s="218"/>
      <c r="E190" s="218"/>
      <c r="F190" s="260"/>
      <c r="G190" s="224"/>
      <c r="H190" s="260"/>
      <c r="I190" s="261"/>
      <c r="J190" s="193">
        <f t="shared" si="1"/>
        <v>0</v>
      </c>
    </row>
    <row r="191" spans="1:10" ht="15">
      <c r="A191" s="217"/>
      <c r="B191" s="218"/>
      <c r="C191" s="218"/>
      <c r="D191" s="218"/>
      <c r="E191" s="218"/>
      <c r="F191" s="260"/>
      <c r="G191" s="224"/>
      <c r="H191" s="260"/>
      <c r="I191" s="261"/>
      <c r="J191" s="193">
        <f t="shared" si="1"/>
        <v>0</v>
      </c>
    </row>
    <row r="192" spans="1:10" ht="15">
      <c r="A192" s="217"/>
      <c r="B192" s="218"/>
      <c r="C192" s="218"/>
      <c r="D192" s="218"/>
      <c r="E192" s="218"/>
      <c r="F192" s="260"/>
      <c r="G192" s="224"/>
      <c r="H192" s="260"/>
      <c r="I192" s="261"/>
      <c r="J192" s="193">
        <f t="shared" si="1"/>
        <v>0</v>
      </c>
    </row>
    <row r="193" spans="1:10" ht="15">
      <c r="A193" s="217"/>
      <c r="B193" s="218"/>
      <c r="C193" s="218"/>
      <c r="D193" s="218"/>
      <c r="E193" s="218"/>
      <c r="F193" s="260"/>
      <c r="G193" s="224"/>
      <c r="H193" s="260"/>
      <c r="I193" s="261"/>
      <c r="J193" s="193">
        <f t="shared" si="1"/>
        <v>0</v>
      </c>
    </row>
    <row r="194" spans="1:10" ht="15">
      <c r="A194" s="217"/>
      <c r="B194" s="218"/>
      <c r="C194" s="218"/>
      <c r="D194" s="218"/>
      <c r="E194" s="218"/>
      <c r="F194" s="260"/>
      <c r="G194" s="224"/>
      <c r="H194" s="260"/>
      <c r="I194" s="261"/>
      <c r="J194" s="193">
        <f t="shared" si="1"/>
        <v>0</v>
      </c>
    </row>
    <row r="195" spans="1:10" ht="15">
      <c r="A195" s="217"/>
      <c r="B195" s="218"/>
      <c r="C195" s="218"/>
      <c r="D195" s="218"/>
      <c r="E195" s="218"/>
      <c r="F195" s="260"/>
      <c r="G195" s="224"/>
      <c r="H195" s="260"/>
      <c r="I195" s="261"/>
      <c r="J195" s="193">
        <f t="shared" si="1"/>
        <v>0</v>
      </c>
    </row>
    <row r="196" spans="1:10" ht="15">
      <c r="A196" s="217"/>
      <c r="B196" s="218"/>
      <c r="C196" s="218"/>
      <c r="D196" s="218"/>
      <c r="E196" s="218"/>
      <c r="F196" s="260"/>
      <c r="G196" s="224"/>
      <c r="H196" s="260"/>
      <c r="I196" s="261"/>
      <c r="J196" s="193">
        <f t="shared" si="1"/>
        <v>0</v>
      </c>
    </row>
    <row r="197" spans="1:10" ht="15">
      <c r="A197" s="217"/>
      <c r="B197" s="218"/>
      <c r="C197" s="218"/>
      <c r="D197" s="218"/>
      <c r="E197" s="218"/>
      <c r="F197" s="260"/>
      <c r="G197" s="224"/>
      <c r="H197" s="260"/>
      <c r="I197" s="261"/>
      <c r="J197" s="193">
        <f t="shared" si="1"/>
        <v>0</v>
      </c>
    </row>
    <row r="198" spans="1:10" ht="15">
      <c r="A198" s="217"/>
      <c r="B198" s="218"/>
      <c r="C198" s="218"/>
      <c r="D198" s="218"/>
      <c r="E198" s="218"/>
      <c r="F198" s="260"/>
      <c r="G198" s="224"/>
      <c r="H198" s="260"/>
      <c r="I198" s="261"/>
      <c r="J198" s="193">
        <f t="shared" si="1"/>
        <v>0</v>
      </c>
    </row>
    <row r="199" spans="1:10" ht="15">
      <c r="A199" s="217"/>
      <c r="B199" s="218"/>
      <c r="C199" s="218"/>
      <c r="D199" s="218"/>
      <c r="E199" s="218"/>
      <c r="F199" s="260"/>
      <c r="G199" s="224"/>
      <c r="H199" s="260"/>
      <c r="I199" s="261"/>
      <c r="J199" s="193">
        <f t="shared" si="1"/>
        <v>0</v>
      </c>
    </row>
    <row r="200" spans="1:10" ht="15">
      <c r="A200" s="217"/>
      <c r="B200" s="218"/>
      <c r="C200" s="218"/>
      <c r="D200" s="218"/>
      <c r="E200" s="218"/>
      <c r="F200" s="260"/>
      <c r="G200" s="224"/>
      <c r="H200" s="260"/>
      <c r="I200" s="261"/>
      <c r="J200" s="193">
        <f t="shared" si="1"/>
        <v>0</v>
      </c>
    </row>
    <row r="201" spans="1:10" ht="15">
      <c r="A201" s="217"/>
      <c r="B201" s="218"/>
      <c r="C201" s="218"/>
      <c r="D201" s="218"/>
      <c r="E201" s="218"/>
      <c r="F201" s="260"/>
      <c r="G201" s="224"/>
      <c r="H201" s="260"/>
      <c r="I201" s="261"/>
      <c r="J201" s="193">
        <f t="shared" si="1"/>
        <v>0</v>
      </c>
    </row>
    <row r="202" spans="1:10" ht="15">
      <c r="A202" s="217"/>
      <c r="B202" s="218"/>
      <c r="C202" s="218"/>
      <c r="D202" s="218"/>
      <c r="E202" s="218"/>
      <c r="F202" s="260"/>
      <c r="G202" s="224"/>
      <c r="H202" s="260"/>
      <c r="I202" s="261"/>
      <c r="J202" s="193">
        <f t="shared" si="1"/>
        <v>0</v>
      </c>
    </row>
    <row r="203" spans="1:10" ht="15">
      <c r="A203" s="217"/>
      <c r="B203" s="218"/>
      <c r="C203" s="218"/>
      <c r="D203" s="218"/>
      <c r="E203" s="218"/>
      <c r="F203" s="260"/>
      <c r="G203" s="224"/>
      <c r="H203" s="260"/>
      <c r="I203" s="261"/>
      <c r="J203" s="193">
        <f t="shared" si="1"/>
        <v>0</v>
      </c>
    </row>
    <row r="204" spans="1:10" ht="15">
      <c r="A204" s="217"/>
      <c r="B204" s="218"/>
      <c r="C204" s="218"/>
      <c r="D204" s="218"/>
      <c r="E204" s="218"/>
      <c r="F204" s="260"/>
      <c r="G204" s="224"/>
      <c r="H204" s="260"/>
      <c r="I204" s="261"/>
      <c r="J204" s="193">
        <f t="shared" si="1"/>
        <v>0</v>
      </c>
    </row>
    <row r="205" spans="1:10" ht="15">
      <c r="A205" s="217"/>
      <c r="B205" s="218"/>
      <c r="C205" s="218"/>
      <c r="D205" s="218"/>
      <c r="E205" s="218"/>
      <c r="F205" s="260"/>
      <c r="G205" s="224"/>
      <c r="H205" s="260"/>
      <c r="I205" s="261"/>
      <c r="J205" s="193">
        <f t="shared" si="1"/>
        <v>0</v>
      </c>
    </row>
    <row r="206" spans="1:10" ht="15">
      <c r="A206" s="217"/>
      <c r="B206" s="218"/>
      <c r="C206" s="218"/>
      <c r="D206" s="218"/>
      <c r="E206" s="218"/>
      <c r="F206" s="260"/>
      <c r="G206" s="224"/>
      <c r="H206" s="260"/>
      <c r="I206" s="261"/>
      <c r="J206" s="193">
        <f t="shared" si="1"/>
        <v>0</v>
      </c>
    </row>
    <row r="207" spans="1:10" ht="15">
      <c r="A207" s="217"/>
      <c r="B207" s="218"/>
      <c r="C207" s="218"/>
      <c r="D207" s="218"/>
      <c r="E207" s="218"/>
      <c r="F207" s="260"/>
      <c r="G207" s="224"/>
      <c r="H207" s="260"/>
      <c r="I207" s="261"/>
      <c r="J207" s="193">
        <f t="shared" si="1"/>
        <v>0</v>
      </c>
    </row>
    <row r="208" spans="1:10" ht="15">
      <c r="A208" s="217"/>
      <c r="B208" s="218"/>
      <c r="C208" s="218"/>
      <c r="D208" s="218"/>
      <c r="E208" s="218"/>
      <c r="F208" s="260"/>
      <c r="G208" s="224"/>
      <c r="H208" s="260"/>
      <c r="I208" s="261"/>
      <c r="J208" s="193">
        <f t="shared" si="1"/>
        <v>0</v>
      </c>
    </row>
    <row r="209" spans="1:10" ht="15">
      <c r="A209" s="217"/>
      <c r="B209" s="218"/>
      <c r="C209" s="218"/>
      <c r="D209" s="218"/>
      <c r="E209" s="218"/>
      <c r="F209" s="260"/>
      <c r="G209" s="224"/>
      <c r="H209" s="260"/>
      <c r="I209" s="261"/>
      <c r="J209" s="193">
        <f t="shared" si="1"/>
        <v>0</v>
      </c>
    </row>
    <row r="210" spans="1:10" ht="15">
      <c r="A210" s="217"/>
      <c r="B210" s="218"/>
      <c r="C210" s="218"/>
      <c r="D210" s="218"/>
      <c r="E210" s="218"/>
      <c r="F210" s="260"/>
      <c r="G210" s="224"/>
      <c r="H210" s="260"/>
      <c r="I210" s="261"/>
      <c r="J210" s="193">
        <f t="shared" si="1"/>
        <v>0</v>
      </c>
    </row>
    <row r="211" spans="1:10" ht="15">
      <c r="A211" s="217"/>
      <c r="B211" s="218"/>
      <c r="C211" s="218"/>
      <c r="D211" s="218"/>
      <c r="E211" s="218"/>
      <c r="F211" s="260"/>
      <c r="G211" s="224"/>
      <c r="H211" s="260"/>
      <c r="I211" s="261"/>
      <c r="J211" s="193">
        <f t="shared" si="1"/>
        <v>0</v>
      </c>
    </row>
    <row r="212" spans="1:10" ht="15">
      <c r="A212" s="217"/>
      <c r="B212" s="218"/>
      <c r="C212" s="218"/>
      <c r="D212" s="218"/>
      <c r="E212" s="218"/>
      <c r="F212" s="260"/>
      <c r="G212" s="224"/>
      <c r="H212" s="260"/>
      <c r="I212" s="261"/>
      <c r="J212" s="193">
        <f t="shared" si="1"/>
        <v>0</v>
      </c>
    </row>
    <row r="213" spans="1:10" ht="15">
      <c r="A213" s="217"/>
      <c r="B213" s="218"/>
      <c r="C213" s="218"/>
      <c r="D213" s="218"/>
      <c r="E213" s="218"/>
      <c r="F213" s="260"/>
      <c r="G213" s="224"/>
      <c r="H213" s="260"/>
      <c r="I213" s="261"/>
      <c r="J213" s="193">
        <f t="shared" si="1"/>
        <v>0</v>
      </c>
    </row>
    <row r="214" spans="1:10" ht="15">
      <c r="A214" s="217"/>
      <c r="B214" s="218"/>
      <c r="C214" s="218"/>
      <c r="D214" s="218"/>
      <c r="E214" s="218"/>
      <c r="F214" s="260"/>
      <c r="G214" s="224"/>
      <c r="H214" s="260"/>
      <c r="I214" s="261"/>
      <c r="J214" s="193">
        <f t="shared" si="1"/>
        <v>0</v>
      </c>
    </row>
    <row r="215" spans="1:10" ht="15">
      <c r="A215" s="217"/>
      <c r="B215" s="218"/>
      <c r="C215" s="218"/>
      <c r="D215" s="218"/>
      <c r="E215" s="218"/>
      <c r="F215" s="260"/>
      <c r="G215" s="224"/>
      <c r="H215" s="260"/>
      <c r="I215" s="261"/>
      <c r="J215" s="193">
        <f t="shared" si="1"/>
        <v>0</v>
      </c>
    </row>
    <row r="216" spans="1:10" ht="15">
      <c r="A216" s="217"/>
      <c r="B216" s="218"/>
      <c r="C216" s="218"/>
      <c r="D216" s="218"/>
      <c r="E216" s="218"/>
      <c r="F216" s="260"/>
      <c r="G216" s="224"/>
      <c r="H216" s="260"/>
      <c r="I216" s="261"/>
      <c r="J216" s="193">
        <f t="shared" si="1"/>
        <v>0</v>
      </c>
    </row>
    <row r="217" spans="1:10" ht="15">
      <c r="A217" s="217"/>
      <c r="B217" s="218"/>
      <c r="C217" s="218"/>
      <c r="D217" s="218"/>
      <c r="E217" s="218"/>
      <c r="F217" s="260"/>
      <c r="G217" s="224"/>
      <c r="H217" s="260"/>
      <c r="I217" s="261"/>
      <c r="J217" s="193">
        <f t="shared" si="1"/>
        <v>0</v>
      </c>
    </row>
    <row r="218" spans="1:10" ht="15">
      <c r="A218" s="217"/>
      <c r="B218" s="218"/>
      <c r="C218" s="218"/>
      <c r="D218" s="218"/>
      <c r="E218" s="218"/>
      <c r="F218" s="260"/>
      <c r="G218" s="224"/>
      <c r="H218" s="260"/>
      <c r="I218" s="261"/>
      <c r="J218" s="193">
        <f t="shared" si="1"/>
        <v>0</v>
      </c>
    </row>
    <row r="219" spans="1:10" ht="15">
      <c r="A219" s="217"/>
      <c r="B219" s="218"/>
      <c r="C219" s="218"/>
      <c r="D219" s="218"/>
      <c r="E219" s="218"/>
      <c r="F219" s="260"/>
      <c r="G219" s="224"/>
      <c r="H219" s="260"/>
      <c r="I219" s="261"/>
      <c r="J219" s="193">
        <f t="shared" si="1"/>
        <v>0</v>
      </c>
    </row>
    <row r="220" spans="1:10" ht="15">
      <c r="A220" s="217"/>
      <c r="B220" s="218"/>
      <c r="C220" s="218"/>
      <c r="D220" s="218"/>
      <c r="E220" s="218"/>
      <c r="F220" s="260"/>
      <c r="G220" s="224"/>
      <c r="H220" s="260"/>
      <c r="I220" s="261"/>
      <c r="J220" s="193">
        <f t="shared" si="1"/>
        <v>0</v>
      </c>
    </row>
    <row r="221" spans="1:10" ht="15">
      <c r="A221" s="217"/>
      <c r="B221" s="218"/>
      <c r="C221" s="218"/>
      <c r="D221" s="218"/>
      <c r="E221" s="218"/>
      <c r="F221" s="260"/>
      <c r="G221" s="224"/>
      <c r="H221" s="260"/>
      <c r="I221" s="261"/>
      <c r="J221" s="193">
        <f t="shared" si="1"/>
        <v>0</v>
      </c>
    </row>
    <row r="222" spans="1:10" ht="15">
      <c r="A222" s="217"/>
      <c r="B222" s="218"/>
      <c r="C222" s="218"/>
      <c r="D222" s="218"/>
      <c r="E222" s="218"/>
      <c r="F222" s="260"/>
      <c r="G222" s="224"/>
      <c r="H222" s="260"/>
      <c r="I222" s="261"/>
      <c r="J222" s="193">
        <f t="shared" si="1"/>
        <v>0</v>
      </c>
    </row>
    <row r="223" spans="1:10" ht="15">
      <c r="A223" s="217"/>
      <c r="B223" s="218"/>
      <c r="C223" s="218"/>
      <c r="D223" s="218"/>
      <c r="E223" s="218"/>
      <c r="F223" s="260"/>
      <c r="G223" s="224"/>
      <c r="H223" s="260"/>
      <c r="I223" s="261"/>
      <c r="J223" s="193">
        <f t="shared" si="1"/>
        <v>0</v>
      </c>
    </row>
    <row r="224" spans="1:10" ht="15">
      <c r="A224" s="217"/>
      <c r="B224" s="218"/>
      <c r="C224" s="218"/>
      <c r="D224" s="218"/>
      <c r="E224" s="218"/>
      <c r="F224" s="260"/>
      <c r="G224" s="224"/>
      <c r="H224" s="260"/>
      <c r="I224" s="261"/>
      <c r="J224" s="193">
        <f t="shared" si="1"/>
        <v>0</v>
      </c>
    </row>
    <row r="225" spans="1:10" ht="15">
      <c r="A225" s="217"/>
      <c r="B225" s="218"/>
      <c r="C225" s="218"/>
      <c r="D225" s="218"/>
      <c r="E225" s="218"/>
      <c r="F225" s="260"/>
      <c r="G225" s="224"/>
      <c r="H225" s="260"/>
      <c r="I225" s="261"/>
      <c r="J225" s="193">
        <f t="shared" si="1"/>
        <v>0</v>
      </c>
    </row>
    <row r="226" spans="1:10" ht="15">
      <c r="A226" s="217"/>
      <c r="B226" s="218"/>
      <c r="C226" s="218"/>
      <c r="D226" s="218"/>
      <c r="E226" s="218"/>
      <c r="F226" s="260"/>
      <c r="G226" s="224"/>
      <c r="H226" s="260"/>
      <c r="I226" s="261"/>
      <c r="J226" s="193">
        <f t="shared" si="1"/>
        <v>0</v>
      </c>
    </row>
    <row r="227" spans="1:10" ht="15">
      <c r="A227" s="217"/>
      <c r="B227" s="218"/>
      <c r="C227" s="218"/>
      <c r="D227" s="218"/>
      <c r="E227" s="218"/>
      <c r="F227" s="260"/>
      <c r="G227" s="224"/>
      <c r="H227" s="260"/>
      <c r="I227" s="261"/>
      <c r="J227" s="193">
        <f t="shared" si="1"/>
        <v>0</v>
      </c>
    </row>
    <row r="228" spans="1:10" ht="15">
      <c r="A228" s="217"/>
      <c r="B228" s="218"/>
      <c r="C228" s="218"/>
      <c r="D228" s="218"/>
      <c r="E228" s="218"/>
      <c r="F228" s="260"/>
      <c r="G228" s="224"/>
      <c r="H228" s="260"/>
      <c r="I228" s="261"/>
      <c r="J228" s="193">
        <f t="shared" si="1"/>
        <v>0</v>
      </c>
    </row>
    <row r="229" spans="1:10" ht="15">
      <c r="A229" s="217"/>
      <c r="B229" s="218"/>
      <c r="C229" s="218"/>
      <c r="D229" s="218"/>
      <c r="E229" s="218"/>
      <c r="F229" s="260"/>
      <c r="G229" s="224"/>
      <c r="H229" s="260"/>
      <c r="I229" s="261"/>
      <c r="J229" s="193">
        <f t="shared" si="1"/>
        <v>0</v>
      </c>
    </row>
    <row r="230" spans="1:10" ht="15">
      <c r="A230" s="217"/>
      <c r="B230" s="218"/>
      <c r="C230" s="218"/>
      <c r="D230" s="218"/>
      <c r="E230" s="218"/>
      <c r="F230" s="260"/>
      <c r="G230" s="224"/>
      <c r="H230" s="260"/>
      <c r="I230" s="261"/>
      <c r="J230" s="193">
        <f t="shared" si="1"/>
        <v>0</v>
      </c>
    </row>
    <row r="231" spans="1:10" ht="15">
      <c r="A231" s="217"/>
      <c r="B231" s="218"/>
      <c r="C231" s="218"/>
      <c r="D231" s="218"/>
      <c r="E231" s="218"/>
      <c r="F231" s="260"/>
      <c r="G231" s="224"/>
      <c r="H231" s="260"/>
      <c r="I231" s="261"/>
      <c r="J231" s="193">
        <f t="shared" si="1"/>
        <v>0</v>
      </c>
    </row>
    <row r="232" spans="1:10" ht="15">
      <c r="A232" s="217"/>
      <c r="B232" s="218"/>
      <c r="C232" s="218"/>
      <c r="D232" s="218"/>
      <c r="E232" s="218"/>
      <c r="F232" s="260"/>
      <c r="G232" s="224"/>
      <c r="H232" s="260"/>
      <c r="I232" s="261"/>
      <c r="J232" s="193">
        <f t="shared" si="1"/>
        <v>0</v>
      </c>
    </row>
    <row r="233" spans="1:10" ht="15">
      <c r="A233" s="217"/>
      <c r="B233" s="218"/>
      <c r="C233" s="218"/>
      <c r="D233" s="218"/>
      <c r="E233" s="218"/>
      <c r="F233" s="260"/>
      <c r="G233" s="224"/>
      <c r="H233" s="260"/>
      <c r="I233" s="261"/>
      <c r="J233" s="193">
        <f t="shared" si="1"/>
        <v>0</v>
      </c>
    </row>
    <row r="234" spans="1:10" ht="15">
      <c r="A234" s="217"/>
      <c r="B234" s="218"/>
      <c r="C234" s="218"/>
      <c r="D234" s="218"/>
      <c r="E234" s="218"/>
      <c r="F234" s="260"/>
      <c r="G234" s="224"/>
      <c r="H234" s="260"/>
      <c r="I234" s="261"/>
      <c r="J234" s="193">
        <f t="shared" si="1"/>
        <v>0</v>
      </c>
    </row>
    <row r="235" spans="1:10" ht="15">
      <c r="A235" s="217"/>
      <c r="B235" s="218"/>
      <c r="C235" s="218"/>
      <c r="D235" s="218"/>
      <c r="E235" s="218"/>
      <c r="F235" s="260"/>
      <c r="G235" s="224"/>
      <c r="H235" s="260"/>
      <c r="I235" s="261"/>
      <c r="J235" s="193">
        <f t="shared" si="1"/>
        <v>0</v>
      </c>
    </row>
    <row r="236" spans="1:10" ht="15">
      <c r="A236" s="217"/>
      <c r="B236" s="218"/>
      <c r="C236" s="218"/>
      <c r="D236" s="218"/>
      <c r="E236" s="218"/>
      <c r="F236" s="260"/>
      <c r="G236" s="224"/>
      <c r="H236" s="260"/>
      <c r="I236" s="261"/>
      <c r="J236" s="193">
        <f t="shared" si="1"/>
        <v>0</v>
      </c>
    </row>
    <row r="237" spans="1:10" ht="15">
      <c r="A237" s="217"/>
      <c r="B237" s="218"/>
      <c r="C237" s="218"/>
      <c r="D237" s="218"/>
      <c r="E237" s="218"/>
      <c r="F237" s="260"/>
      <c r="G237" s="224"/>
      <c r="H237" s="260"/>
      <c r="I237" s="261"/>
      <c r="J237" s="193">
        <f t="shared" si="1"/>
        <v>0</v>
      </c>
    </row>
    <row r="238" spans="1:10" ht="15">
      <c r="A238" s="217"/>
      <c r="B238" s="218"/>
      <c r="C238" s="218"/>
      <c r="D238" s="218"/>
      <c r="E238" s="218"/>
      <c r="F238" s="260"/>
      <c r="G238" s="224"/>
      <c r="H238" s="260"/>
      <c r="I238" s="261"/>
      <c r="J238" s="193">
        <f t="shared" si="1"/>
        <v>0</v>
      </c>
    </row>
    <row r="239" spans="1:10" ht="15">
      <c r="A239" s="217"/>
      <c r="B239" s="218"/>
      <c r="C239" s="218"/>
      <c r="D239" s="218"/>
      <c r="E239" s="218"/>
      <c r="F239" s="260"/>
      <c r="G239" s="224"/>
      <c r="H239" s="260"/>
      <c r="I239" s="261"/>
      <c r="J239" s="193">
        <f t="shared" si="1"/>
        <v>0</v>
      </c>
    </row>
    <row r="240" spans="1:10" ht="15">
      <c r="A240" s="217"/>
      <c r="B240" s="218"/>
      <c r="C240" s="218"/>
      <c r="D240" s="218"/>
      <c r="E240" s="218"/>
      <c r="F240" s="260"/>
      <c r="G240" s="224"/>
      <c r="H240" s="260"/>
      <c r="I240" s="261"/>
      <c r="J240" s="193">
        <f t="shared" si="1"/>
        <v>0</v>
      </c>
    </row>
    <row r="241" spans="1:10" ht="15">
      <c r="A241" s="217"/>
      <c r="B241" s="218"/>
      <c r="C241" s="218"/>
      <c r="D241" s="218"/>
      <c r="E241" s="218"/>
      <c r="F241" s="260"/>
      <c r="G241" s="224"/>
      <c r="H241" s="260"/>
      <c r="I241" s="261"/>
      <c r="J241" s="193">
        <f t="shared" si="1"/>
        <v>0</v>
      </c>
    </row>
    <row r="242" spans="1:10" ht="15">
      <c r="A242" s="217"/>
      <c r="B242" s="218"/>
      <c r="C242" s="218"/>
      <c r="D242" s="218"/>
      <c r="E242" s="218"/>
      <c r="F242" s="260"/>
      <c r="G242" s="224"/>
      <c r="H242" s="260"/>
      <c r="I242" s="261"/>
      <c r="J242" s="193">
        <f t="shared" si="1"/>
        <v>0</v>
      </c>
    </row>
    <row r="243" spans="1:10" ht="15">
      <c r="A243" s="217"/>
      <c r="B243" s="218"/>
      <c r="C243" s="218"/>
      <c r="D243" s="218"/>
      <c r="E243" s="218"/>
      <c r="F243" s="260"/>
      <c r="G243" s="224"/>
      <c r="H243" s="260"/>
      <c r="I243" s="261"/>
      <c r="J243" s="193">
        <f t="shared" si="1"/>
        <v>0</v>
      </c>
    </row>
    <row r="244" spans="1:10" ht="15">
      <c r="A244" s="217"/>
      <c r="B244" s="218"/>
      <c r="C244" s="218"/>
      <c r="D244" s="218"/>
      <c r="E244" s="218"/>
      <c r="F244" s="260"/>
      <c r="G244" s="224"/>
      <c r="H244" s="260"/>
      <c r="I244" s="261"/>
      <c r="J244" s="193">
        <f t="shared" si="1"/>
        <v>0</v>
      </c>
    </row>
    <row r="245" spans="1:10" ht="15">
      <c r="A245" s="217"/>
      <c r="B245" s="218"/>
      <c r="C245" s="218"/>
      <c r="D245" s="218"/>
      <c r="E245" s="218"/>
      <c r="F245" s="260"/>
      <c r="G245" s="224"/>
      <c r="H245" s="260"/>
      <c r="I245" s="261"/>
      <c r="J245" s="193">
        <f t="shared" si="1"/>
        <v>0</v>
      </c>
    </row>
    <row r="246" spans="1:10" ht="15">
      <c r="A246" s="217"/>
      <c r="B246" s="218"/>
      <c r="C246" s="218"/>
      <c r="D246" s="218"/>
      <c r="E246" s="218"/>
      <c r="F246" s="260"/>
      <c r="G246" s="224"/>
      <c r="H246" s="260"/>
      <c r="I246" s="261"/>
      <c r="J246" s="193">
        <f t="shared" si="1"/>
        <v>0</v>
      </c>
    </row>
    <row r="247" spans="1:10" ht="15">
      <c r="A247" s="217"/>
      <c r="B247" s="218"/>
      <c r="C247" s="218"/>
      <c r="D247" s="218"/>
      <c r="E247" s="218"/>
      <c r="F247" s="260"/>
      <c r="G247" s="224"/>
      <c r="H247" s="260"/>
      <c r="I247" s="261"/>
      <c r="J247" s="193">
        <f t="shared" si="1"/>
        <v>0</v>
      </c>
    </row>
    <row r="248" spans="1:10" ht="15">
      <c r="A248" s="217"/>
      <c r="B248" s="218"/>
      <c r="C248" s="218"/>
      <c r="D248" s="218"/>
      <c r="E248" s="218"/>
      <c r="F248" s="260"/>
      <c r="G248" s="224"/>
      <c r="H248" s="260"/>
      <c r="I248" s="261"/>
      <c r="J248" s="193">
        <f t="shared" si="1"/>
        <v>0</v>
      </c>
    </row>
    <row r="249" spans="1:10" ht="15">
      <c r="A249" s="217"/>
      <c r="B249" s="218"/>
      <c r="C249" s="218"/>
      <c r="D249" s="218"/>
      <c r="E249" s="218"/>
      <c r="F249" s="260"/>
      <c r="G249" s="224"/>
      <c r="H249" s="260"/>
      <c r="I249" s="261"/>
      <c r="J249" s="193">
        <f t="shared" si="1"/>
        <v>0</v>
      </c>
    </row>
    <row r="250" spans="1:10" ht="15">
      <c r="A250" s="217"/>
      <c r="B250" s="218"/>
      <c r="C250" s="218"/>
      <c r="D250" s="218"/>
      <c r="E250" s="218"/>
      <c r="F250" s="260"/>
      <c r="G250" s="224"/>
      <c r="H250" s="260"/>
      <c r="I250" s="261"/>
      <c r="J250" s="193">
        <f t="shared" si="1"/>
        <v>0</v>
      </c>
    </row>
    <row r="251" spans="1:10" ht="15">
      <c r="A251" s="217"/>
      <c r="B251" s="218"/>
      <c r="C251" s="218"/>
      <c r="D251" s="218"/>
      <c r="E251" s="218"/>
      <c r="F251" s="260"/>
      <c r="G251" s="224"/>
      <c r="H251" s="260"/>
      <c r="I251" s="261"/>
      <c r="J251" s="193">
        <f t="shared" si="1"/>
        <v>0</v>
      </c>
    </row>
    <row r="252" spans="1:10" ht="15">
      <c r="A252" s="217"/>
      <c r="B252" s="218"/>
      <c r="C252" s="218"/>
      <c r="D252" s="218"/>
      <c r="E252" s="218"/>
      <c r="F252" s="260"/>
      <c r="G252" s="224"/>
      <c r="H252" s="260"/>
      <c r="I252" s="261"/>
      <c r="J252" s="193">
        <f t="shared" si="1"/>
        <v>0</v>
      </c>
    </row>
    <row r="253" spans="1:10" ht="15">
      <c r="A253" s="217"/>
      <c r="B253" s="218"/>
      <c r="C253" s="218"/>
      <c r="D253" s="218"/>
      <c r="E253" s="218"/>
      <c r="F253" s="260"/>
      <c r="G253" s="224"/>
      <c r="H253" s="260"/>
      <c r="I253" s="261"/>
      <c r="J253" s="193">
        <f t="shared" si="1"/>
        <v>0</v>
      </c>
    </row>
    <row r="254" spans="1:10" ht="15">
      <c r="A254" s="217"/>
      <c r="B254" s="218"/>
      <c r="C254" s="218"/>
      <c r="D254" s="218"/>
      <c r="E254" s="218"/>
      <c r="F254" s="260"/>
      <c r="G254" s="224"/>
      <c r="H254" s="260"/>
      <c r="I254" s="261"/>
      <c r="J254" s="193">
        <f t="shared" si="1"/>
        <v>0</v>
      </c>
    </row>
    <row r="255" spans="1:10" ht="15">
      <c r="A255" s="217"/>
      <c r="B255" s="218"/>
      <c r="C255" s="218"/>
      <c r="D255" s="218"/>
      <c r="E255" s="218"/>
      <c r="F255" s="260"/>
      <c r="G255" s="224"/>
      <c r="H255" s="260"/>
      <c r="I255" s="261"/>
      <c r="J255" s="193">
        <f t="shared" si="1"/>
        <v>0</v>
      </c>
    </row>
    <row r="256" spans="1:10" ht="15">
      <c r="A256" s="217"/>
      <c r="B256" s="218"/>
      <c r="C256" s="218"/>
      <c r="D256" s="218"/>
      <c r="E256" s="218"/>
      <c r="F256" s="260"/>
      <c r="G256" s="224"/>
      <c r="H256" s="260"/>
      <c r="I256" s="261"/>
      <c r="J256" s="193">
        <f t="shared" si="1"/>
        <v>0</v>
      </c>
    </row>
    <row r="257" spans="1:10" ht="15">
      <c r="A257" s="217"/>
      <c r="B257" s="218"/>
      <c r="C257" s="218"/>
      <c r="D257" s="218"/>
      <c r="E257" s="218"/>
      <c r="F257" s="260"/>
      <c r="G257" s="224"/>
      <c r="H257" s="260"/>
      <c r="I257" s="261"/>
      <c r="J257" s="193">
        <f t="shared" si="1"/>
        <v>0</v>
      </c>
    </row>
    <row r="258" spans="1:10" ht="15">
      <c r="A258" s="217"/>
      <c r="B258" s="218"/>
      <c r="C258" s="218"/>
      <c r="D258" s="218"/>
      <c r="E258" s="218"/>
      <c r="F258" s="260"/>
      <c r="G258" s="224"/>
      <c r="H258" s="260"/>
      <c r="I258" s="261"/>
      <c r="J258" s="193">
        <f t="shared" si="1"/>
        <v>0</v>
      </c>
    </row>
    <row r="259" spans="1:10" ht="15">
      <c r="A259" s="217"/>
      <c r="B259" s="218"/>
      <c r="C259" s="218"/>
      <c r="D259" s="218"/>
      <c r="E259" s="218"/>
      <c r="F259" s="260"/>
      <c r="G259" s="224"/>
      <c r="H259" s="260"/>
      <c r="I259" s="261"/>
      <c r="J259" s="193">
        <f t="shared" si="1"/>
        <v>0</v>
      </c>
    </row>
    <row r="260" spans="1:10" ht="15">
      <c r="A260" s="217"/>
      <c r="B260" s="218"/>
      <c r="C260" s="218"/>
      <c r="D260" s="218"/>
      <c r="E260" s="218"/>
      <c r="F260" s="260"/>
      <c r="G260" s="224"/>
      <c r="H260" s="260"/>
      <c r="I260" s="261"/>
      <c r="J260" s="193">
        <f t="shared" ref="J260:J456" si="2">SUM(F260:I260)</f>
        <v>0</v>
      </c>
    </row>
    <row r="261" spans="1:10" ht="15">
      <c r="A261" s="217"/>
      <c r="B261" s="218"/>
      <c r="C261" s="218"/>
      <c r="D261" s="218"/>
      <c r="E261" s="218"/>
      <c r="F261" s="260"/>
      <c r="G261" s="224"/>
      <c r="H261" s="260"/>
      <c r="I261" s="261"/>
      <c r="J261" s="193">
        <f t="shared" si="2"/>
        <v>0</v>
      </c>
    </row>
    <row r="262" spans="1:10" ht="15">
      <c r="A262" s="217"/>
      <c r="B262" s="218"/>
      <c r="C262" s="218"/>
      <c r="D262" s="218"/>
      <c r="E262" s="218"/>
      <c r="F262" s="260"/>
      <c r="G262" s="224"/>
      <c r="H262" s="260"/>
      <c r="I262" s="261"/>
      <c r="J262" s="193">
        <f t="shared" si="2"/>
        <v>0</v>
      </c>
    </row>
    <row r="263" spans="1:10" ht="15">
      <c r="A263" s="217"/>
      <c r="B263" s="218"/>
      <c r="C263" s="218"/>
      <c r="D263" s="218"/>
      <c r="E263" s="218"/>
      <c r="F263" s="260"/>
      <c r="G263" s="224"/>
      <c r="H263" s="260"/>
      <c r="I263" s="261"/>
      <c r="J263" s="193">
        <f t="shared" si="2"/>
        <v>0</v>
      </c>
    </row>
    <row r="264" spans="1:10" ht="15">
      <c r="A264" s="217"/>
      <c r="B264" s="218"/>
      <c r="C264" s="218"/>
      <c r="D264" s="218"/>
      <c r="E264" s="218"/>
      <c r="F264" s="260"/>
      <c r="G264" s="224"/>
      <c r="H264" s="260"/>
      <c r="I264" s="261"/>
      <c r="J264" s="193">
        <f t="shared" si="2"/>
        <v>0</v>
      </c>
    </row>
    <row r="265" spans="1:10" ht="15">
      <c r="A265" s="217"/>
      <c r="B265" s="218"/>
      <c r="C265" s="218"/>
      <c r="D265" s="218"/>
      <c r="E265" s="218"/>
      <c r="F265" s="260"/>
      <c r="G265" s="224"/>
      <c r="H265" s="260"/>
      <c r="I265" s="261"/>
      <c r="J265" s="193">
        <f t="shared" si="2"/>
        <v>0</v>
      </c>
    </row>
    <row r="266" spans="1:10" ht="15">
      <c r="A266" s="217"/>
      <c r="B266" s="218"/>
      <c r="C266" s="218"/>
      <c r="D266" s="218"/>
      <c r="E266" s="218"/>
      <c r="F266" s="260"/>
      <c r="G266" s="224"/>
      <c r="H266" s="260"/>
      <c r="I266" s="261"/>
      <c r="J266" s="193">
        <f t="shared" si="2"/>
        <v>0</v>
      </c>
    </row>
    <row r="267" spans="1:10" ht="15">
      <c r="A267" s="217"/>
      <c r="B267" s="218"/>
      <c r="C267" s="218"/>
      <c r="D267" s="218"/>
      <c r="E267" s="218"/>
      <c r="F267" s="260"/>
      <c r="G267" s="224"/>
      <c r="H267" s="260"/>
      <c r="I267" s="261"/>
      <c r="J267" s="193">
        <f t="shared" si="2"/>
        <v>0</v>
      </c>
    </row>
    <row r="268" spans="1:10" ht="15">
      <c r="A268" s="217"/>
      <c r="B268" s="218"/>
      <c r="C268" s="218"/>
      <c r="D268" s="218"/>
      <c r="E268" s="218"/>
      <c r="F268" s="260"/>
      <c r="G268" s="224"/>
      <c r="H268" s="260"/>
      <c r="I268" s="261"/>
      <c r="J268" s="193">
        <f t="shared" si="2"/>
        <v>0</v>
      </c>
    </row>
    <row r="269" spans="1:10" ht="15">
      <c r="A269" s="217"/>
      <c r="B269" s="218"/>
      <c r="C269" s="218"/>
      <c r="D269" s="218"/>
      <c r="E269" s="218"/>
      <c r="F269" s="260"/>
      <c r="G269" s="224"/>
      <c r="H269" s="260"/>
      <c r="I269" s="261"/>
      <c r="J269" s="193">
        <f t="shared" si="2"/>
        <v>0</v>
      </c>
    </row>
    <row r="270" spans="1:10" ht="15">
      <c r="A270" s="217"/>
      <c r="B270" s="218"/>
      <c r="C270" s="218"/>
      <c r="D270" s="218"/>
      <c r="E270" s="218"/>
      <c r="F270" s="260"/>
      <c r="G270" s="224"/>
      <c r="H270" s="260"/>
      <c r="I270" s="261"/>
      <c r="J270" s="193">
        <f t="shared" si="2"/>
        <v>0</v>
      </c>
    </row>
    <row r="271" spans="1:10" ht="15">
      <c r="A271" s="217"/>
      <c r="B271" s="218"/>
      <c r="C271" s="218"/>
      <c r="D271" s="218"/>
      <c r="E271" s="218"/>
      <c r="F271" s="260"/>
      <c r="G271" s="224"/>
      <c r="H271" s="260"/>
      <c r="I271" s="261"/>
      <c r="J271" s="193">
        <f t="shared" si="2"/>
        <v>0</v>
      </c>
    </row>
    <row r="272" spans="1:10" ht="15">
      <c r="A272" s="217"/>
      <c r="B272" s="218"/>
      <c r="C272" s="218"/>
      <c r="D272" s="218"/>
      <c r="E272" s="218"/>
      <c r="F272" s="260"/>
      <c r="G272" s="224"/>
      <c r="H272" s="260"/>
      <c r="I272" s="261"/>
      <c r="J272" s="193">
        <f t="shared" si="2"/>
        <v>0</v>
      </c>
    </row>
    <row r="273" spans="1:10" ht="15">
      <c r="A273" s="217"/>
      <c r="B273" s="218"/>
      <c r="C273" s="218"/>
      <c r="D273" s="218"/>
      <c r="E273" s="218"/>
      <c r="F273" s="260"/>
      <c r="G273" s="224"/>
      <c r="H273" s="260"/>
      <c r="I273" s="261"/>
      <c r="J273" s="193">
        <f t="shared" si="2"/>
        <v>0</v>
      </c>
    </row>
    <row r="274" spans="1:10" ht="15">
      <c r="A274" s="217"/>
      <c r="B274" s="218"/>
      <c r="C274" s="218"/>
      <c r="D274" s="218"/>
      <c r="E274" s="218"/>
      <c r="F274" s="260"/>
      <c r="G274" s="224"/>
      <c r="H274" s="260"/>
      <c r="I274" s="261"/>
      <c r="J274" s="193">
        <f t="shared" si="2"/>
        <v>0</v>
      </c>
    </row>
    <row r="275" spans="1:10" ht="15">
      <c r="A275" s="217"/>
      <c r="B275" s="218"/>
      <c r="C275" s="218"/>
      <c r="D275" s="218"/>
      <c r="E275" s="218"/>
      <c r="F275" s="260"/>
      <c r="G275" s="224"/>
      <c r="H275" s="260"/>
      <c r="I275" s="261"/>
      <c r="J275" s="193">
        <f t="shared" si="2"/>
        <v>0</v>
      </c>
    </row>
    <row r="276" spans="1:10" ht="15">
      <c r="A276" s="217"/>
      <c r="B276" s="218"/>
      <c r="C276" s="218"/>
      <c r="D276" s="218"/>
      <c r="E276" s="218"/>
      <c r="F276" s="260"/>
      <c r="G276" s="224"/>
      <c r="H276" s="260"/>
      <c r="I276" s="261"/>
      <c r="J276" s="193">
        <f t="shared" si="2"/>
        <v>0</v>
      </c>
    </row>
    <row r="277" spans="1:10" ht="15">
      <c r="A277" s="217"/>
      <c r="B277" s="218"/>
      <c r="C277" s="218"/>
      <c r="D277" s="218"/>
      <c r="E277" s="218"/>
      <c r="F277" s="260"/>
      <c r="G277" s="224"/>
      <c r="H277" s="260"/>
      <c r="I277" s="261"/>
      <c r="J277" s="193">
        <f t="shared" si="2"/>
        <v>0</v>
      </c>
    </row>
    <row r="278" spans="1:10" ht="15">
      <c r="A278" s="217"/>
      <c r="B278" s="218"/>
      <c r="C278" s="218"/>
      <c r="D278" s="218"/>
      <c r="E278" s="218"/>
      <c r="F278" s="260"/>
      <c r="G278" s="224"/>
      <c r="H278" s="260"/>
      <c r="I278" s="261"/>
      <c r="J278" s="193">
        <f t="shared" si="2"/>
        <v>0</v>
      </c>
    </row>
    <row r="279" spans="1:10" ht="15">
      <c r="A279" s="217"/>
      <c r="B279" s="218"/>
      <c r="C279" s="218"/>
      <c r="D279" s="218"/>
      <c r="E279" s="218"/>
      <c r="F279" s="260"/>
      <c r="G279" s="224"/>
      <c r="H279" s="260"/>
      <c r="I279" s="261"/>
      <c r="J279" s="193">
        <f t="shared" si="2"/>
        <v>0</v>
      </c>
    </row>
    <row r="280" spans="1:10" ht="15">
      <c r="A280" s="217"/>
      <c r="B280" s="218"/>
      <c r="C280" s="218"/>
      <c r="D280" s="218"/>
      <c r="E280" s="218"/>
      <c r="F280" s="260"/>
      <c r="G280" s="224"/>
      <c r="H280" s="260"/>
      <c r="I280" s="261"/>
      <c r="J280" s="193">
        <f t="shared" si="2"/>
        <v>0</v>
      </c>
    </row>
    <row r="281" spans="1:10" ht="15">
      <c r="A281" s="217"/>
      <c r="B281" s="218"/>
      <c r="C281" s="218"/>
      <c r="D281" s="218"/>
      <c r="E281" s="218"/>
      <c r="F281" s="260"/>
      <c r="G281" s="224"/>
      <c r="H281" s="260"/>
      <c r="I281" s="261"/>
      <c r="J281" s="193">
        <f t="shared" si="2"/>
        <v>0</v>
      </c>
    </row>
    <row r="282" spans="1:10" ht="15">
      <c r="A282" s="217"/>
      <c r="B282" s="218"/>
      <c r="C282" s="218"/>
      <c r="D282" s="218"/>
      <c r="E282" s="218"/>
      <c r="F282" s="260"/>
      <c r="G282" s="224"/>
      <c r="H282" s="260"/>
      <c r="I282" s="261"/>
      <c r="J282" s="193">
        <f t="shared" si="2"/>
        <v>0</v>
      </c>
    </row>
    <row r="283" spans="1:10" ht="15">
      <c r="A283" s="217"/>
      <c r="B283" s="218"/>
      <c r="C283" s="218"/>
      <c r="D283" s="218"/>
      <c r="E283" s="218"/>
      <c r="F283" s="260"/>
      <c r="G283" s="224"/>
      <c r="H283" s="260"/>
      <c r="I283" s="261"/>
      <c r="J283" s="193">
        <f t="shared" si="2"/>
        <v>0</v>
      </c>
    </row>
    <row r="284" spans="1:10" ht="15">
      <c r="A284" s="217"/>
      <c r="B284" s="218"/>
      <c r="C284" s="218"/>
      <c r="D284" s="218"/>
      <c r="E284" s="218"/>
      <c r="F284" s="260"/>
      <c r="G284" s="224"/>
      <c r="H284" s="260"/>
      <c r="I284" s="261"/>
      <c r="J284" s="193">
        <f t="shared" si="2"/>
        <v>0</v>
      </c>
    </row>
    <row r="285" spans="1:10" ht="15">
      <c r="A285" s="217"/>
      <c r="B285" s="218"/>
      <c r="C285" s="218"/>
      <c r="D285" s="218"/>
      <c r="E285" s="218"/>
      <c r="F285" s="260"/>
      <c r="G285" s="224"/>
      <c r="H285" s="260"/>
      <c r="I285" s="261"/>
      <c r="J285" s="193">
        <f t="shared" si="2"/>
        <v>0</v>
      </c>
    </row>
    <row r="286" spans="1:10" ht="15">
      <c r="A286" s="217"/>
      <c r="B286" s="218"/>
      <c r="C286" s="218"/>
      <c r="D286" s="218"/>
      <c r="E286" s="218"/>
      <c r="F286" s="260"/>
      <c r="G286" s="224"/>
      <c r="H286" s="260"/>
      <c r="I286" s="261"/>
      <c r="J286" s="193">
        <f t="shared" si="2"/>
        <v>0</v>
      </c>
    </row>
    <row r="287" spans="1:10" ht="15">
      <c r="A287" s="217"/>
      <c r="B287" s="218"/>
      <c r="C287" s="218"/>
      <c r="D287" s="218"/>
      <c r="E287" s="218"/>
      <c r="F287" s="260"/>
      <c r="G287" s="224"/>
      <c r="H287" s="260"/>
      <c r="I287" s="261"/>
      <c r="J287" s="193">
        <f t="shared" si="2"/>
        <v>0</v>
      </c>
    </row>
    <row r="288" spans="1:10" ht="15">
      <c r="A288" s="217"/>
      <c r="B288" s="218"/>
      <c r="C288" s="218"/>
      <c r="D288" s="218"/>
      <c r="E288" s="218"/>
      <c r="F288" s="260"/>
      <c r="G288" s="224"/>
      <c r="H288" s="260"/>
      <c r="I288" s="261"/>
      <c r="J288" s="193">
        <f t="shared" si="2"/>
        <v>0</v>
      </c>
    </row>
    <row r="289" spans="1:10" ht="15">
      <c r="A289" s="217"/>
      <c r="B289" s="218"/>
      <c r="C289" s="218"/>
      <c r="D289" s="218"/>
      <c r="E289" s="218"/>
      <c r="F289" s="260"/>
      <c r="G289" s="224"/>
      <c r="H289" s="260"/>
      <c r="I289" s="261"/>
      <c r="J289" s="193">
        <f t="shared" si="2"/>
        <v>0</v>
      </c>
    </row>
    <row r="290" spans="1:10" ht="15">
      <c r="A290" s="217"/>
      <c r="B290" s="218"/>
      <c r="C290" s="218"/>
      <c r="D290" s="218"/>
      <c r="E290" s="218"/>
      <c r="F290" s="260"/>
      <c r="G290" s="224"/>
      <c r="H290" s="260"/>
      <c r="I290" s="261"/>
      <c r="J290" s="193">
        <f t="shared" si="2"/>
        <v>0</v>
      </c>
    </row>
    <row r="291" spans="1:10" ht="15">
      <c r="A291" s="217"/>
      <c r="B291" s="218"/>
      <c r="C291" s="218"/>
      <c r="D291" s="218"/>
      <c r="E291" s="218"/>
      <c r="F291" s="260"/>
      <c r="G291" s="224"/>
      <c r="H291" s="260"/>
      <c r="I291" s="261"/>
      <c r="J291" s="193">
        <f t="shared" si="2"/>
        <v>0</v>
      </c>
    </row>
    <row r="292" spans="1:10" ht="15">
      <c r="A292" s="217"/>
      <c r="B292" s="218"/>
      <c r="C292" s="218"/>
      <c r="D292" s="218"/>
      <c r="E292" s="218"/>
      <c r="F292" s="260"/>
      <c r="G292" s="224"/>
      <c r="H292" s="260"/>
      <c r="I292" s="261"/>
      <c r="J292" s="193">
        <f t="shared" si="2"/>
        <v>0</v>
      </c>
    </row>
    <row r="293" spans="1:10" ht="15">
      <c r="A293" s="217"/>
      <c r="B293" s="218"/>
      <c r="C293" s="218"/>
      <c r="D293" s="218"/>
      <c r="E293" s="218"/>
      <c r="F293" s="260"/>
      <c r="G293" s="224"/>
      <c r="H293" s="260"/>
      <c r="I293" s="261"/>
      <c r="J293" s="193">
        <f t="shared" si="2"/>
        <v>0</v>
      </c>
    </row>
    <row r="294" spans="1:10" ht="15">
      <c r="A294" s="217"/>
      <c r="B294" s="218"/>
      <c r="C294" s="218"/>
      <c r="D294" s="218"/>
      <c r="E294" s="218"/>
      <c r="F294" s="260"/>
      <c r="G294" s="224"/>
      <c r="H294" s="260"/>
      <c r="I294" s="261"/>
      <c r="J294" s="193">
        <f t="shared" si="2"/>
        <v>0</v>
      </c>
    </row>
    <row r="295" spans="1:10" ht="15">
      <c r="A295" s="217"/>
      <c r="B295" s="218"/>
      <c r="C295" s="218"/>
      <c r="D295" s="218"/>
      <c r="E295" s="218"/>
      <c r="F295" s="260"/>
      <c r="G295" s="224"/>
      <c r="H295" s="260"/>
      <c r="I295" s="261"/>
      <c r="J295" s="193">
        <f t="shared" si="2"/>
        <v>0</v>
      </c>
    </row>
    <row r="296" spans="1:10" ht="15">
      <c r="A296" s="217"/>
      <c r="B296" s="218"/>
      <c r="C296" s="218"/>
      <c r="D296" s="218"/>
      <c r="E296" s="218"/>
      <c r="F296" s="260"/>
      <c r="G296" s="224"/>
      <c r="H296" s="260"/>
      <c r="I296" s="261"/>
      <c r="J296" s="193">
        <f t="shared" si="2"/>
        <v>0</v>
      </c>
    </row>
    <row r="297" spans="1:10" ht="15">
      <c r="A297" s="217"/>
      <c r="B297" s="218"/>
      <c r="C297" s="218"/>
      <c r="D297" s="218"/>
      <c r="E297" s="218"/>
      <c r="F297" s="260"/>
      <c r="G297" s="224"/>
      <c r="H297" s="260"/>
      <c r="I297" s="261"/>
      <c r="J297" s="193">
        <f t="shared" si="2"/>
        <v>0</v>
      </c>
    </row>
    <row r="298" spans="1:10" ht="15">
      <c r="A298" s="217"/>
      <c r="B298" s="218"/>
      <c r="C298" s="218"/>
      <c r="D298" s="218"/>
      <c r="E298" s="218"/>
      <c r="F298" s="260"/>
      <c r="G298" s="224"/>
      <c r="H298" s="260"/>
      <c r="I298" s="261"/>
      <c r="J298" s="193">
        <f t="shared" si="2"/>
        <v>0</v>
      </c>
    </row>
    <row r="299" spans="1:10" ht="15">
      <c r="A299" s="217"/>
      <c r="B299" s="218"/>
      <c r="C299" s="218"/>
      <c r="D299" s="218"/>
      <c r="E299" s="218"/>
      <c r="F299" s="260"/>
      <c r="G299" s="224"/>
      <c r="H299" s="260"/>
      <c r="I299" s="261"/>
      <c r="J299" s="193">
        <f t="shared" si="2"/>
        <v>0</v>
      </c>
    </row>
    <row r="300" spans="1:10" ht="15">
      <c r="A300" s="217"/>
      <c r="B300" s="218"/>
      <c r="C300" s="218"/>
      <c r="D300" s="218"/>
      <c r="E300" s="218"/>
      <c r="F300" s="260"/>
      <c r="G300" s="224"/>
      <c r="H300" s="260"/>
      <c r="I300" s="261"/>
      <c r="J300" s="193">
        <f t="shared" si="2"/>
        <v>0</v>
      </c>
    </row>
    <row r="301" spans="1:10" ht="15">
      <c r="A301" s="217"/>
      <c r="B301" s="218"/>
      <c r="C301" s="218"/>
      <c r="D301" s="218"/>
      <c r="E301" s="218"/>
      <c r="F301" s="260"/>
      <c r="G301" s="224"/>
      <c r="H301" s="260"/>
      <c r="I301" s="261"/>
      <c r="J301" s="193">
        <f t="shared" si="2"/>
        <v>0</v>
      </c>
    </row>
    <row r="302" spans="1:10" ht="15">
      <c r="A302" s="217"/>
      <c r="B302" s="218"/>
      <c r="C302" s="218"/>
      <c r="D302" s="218"/>
      <c r="E302" s="218"/>
      <c r="F302" s="260"/>
      <c r="G302" s="224"/>
      <c r="H302" s="260"/>
      <c r="I302" s="261"/>
      <c r="J302" s="193">
        <f t="shared" si="2"/>
        <v>0</v>
      </c>
    </row>
    <row r="303" spans="1:10" ht="15">
      <c r="A303" s="217"/>
      <c r="B303" s="218"/>
      <c r="C303" s="218"/>
      <c r="D303" s="218"/>
      <c r="E303" s="218"/>
      <c r="F303" s="260"/>
      <c r="G303" s="224"/>
      <c r="H303" s="260"/>
      <c r="I303" s="261"/>
      <c r="J303" s="193">
        <f t="shared" si="2"/>
        <v>0</v>
      </c>
    </row>
    <row r="304" spans="1:10" ht="15">
      <c r="A304" s="217"/>
      <c r="B304" s="218"/>
      <c r="C304" s="218"/>
      <c r="D304" s="218"/>
      <c r="E304" s="218"/>
      <c r="F304" s="260"/>
      <c r="G304" s="224"/>
      <c r="H304" s="260"/>
      <c r="I304" s="261"/>
      <c r="J304" s="193">
        <f t="shared" si="2"/>
        <v>0</v>
      </c>
    </row>
    <row r="305" spans="1:10" ht="15">
      <c r="A305" s="217"/>
      <c r="B305" s="218"/>
      <c r="C305" s="218"/>
      <c r="D305" s="218"/>
      <c r="E305" s="218"/>
      <c r="F305" s="260"/>
      <c r="G305" s="224"/>
      <c r="H305" s="260"/>
      <c r="I305" s="261"/>
      <c r="J305" s="193">
        <f t="shared" si="2"/>
        <v>0</v>
      </c>
    </row>
    <row r="306" spans="1:10" ht="15">
      <c r="A306" s="217"/>
      <c r="B306" s="218"/>
      <c r="C306" s="218"/>
      <c r="D306" s="218"/>
      <c r="E306" s="218"/>
      <c r="F306" s="260"/>
      <c r="G306" s="224"/>
      <c r="H306" s="260"/>
      <c r="I306" s="261"/>
      <c r="J306" s="193">
        <f t="shared" si="2"/>
        <v>0</v>
      </c>
    </row>
    <row r="307" spans="1:10" ht="15">
      <c r="A307" s="217"/>
      <c r="B307" s="218"/>
      <c r="C307" s="218"/>
      <c r="D307" s="218"/>
      <c r="E307" s="218"/>
      <c r="F307" s="260"/>
      <c r="G307" s="224"/>
      <c r="H307" s="260"/>
      <c r="I307" s="261"/>
      <c r="J307" s="193">
        <f t="shared" si="2"/>
        <v>0</v>
      </c>
    </row>
    <row r="308" spans="1:10" ht="15">
      <c r="A308" s="217"/>
      <c r="B308" s="218"/>
      <c r="C308" s="218"/>
      <c r="D308" s="218"/>
      <c r="E308" s="218"/>
      <c r="F308" s="260"/>
      <c r="G308" s="224"/>
      <c r="H308" s="260"/>
      <c r="I308" s="261"/>
      <c r="J308" s="193">
        <f t="shared" si="2"/>
        <v>0</v>
      </c>
    </row>
    <row r="309" spans="1:10" ht="15">
      <c r="A309" s="217"/>
      <c r="B309" s="218"/>
      <c r="C309" s="218"/>
      <c r="D309" s="218"/>
      <c r="E309" s="218"/>
      <c r="F309" s="260"/>
      <c r="G309" s="224"/>
      <c r="H309" s="260"/>
      <c r="I309" s="261"/>
      <c r="J309" s="193">
        <f t="shared" si="2"/>
        <v>0</v>
      </c>
    </row>
    <row r="310" spans="1:10" ht="15">
      <c r="A310" s="217"/>
      <c r="B310" s="218"/>
      <c r="C310" s="218"/>
      <c r="D310" s="218"/>
      <c r="E310" s="218"/>
      <c r="F310" s="260"/>
      <c r="G310" s="224"/>
      <c r="H310" s="260"/>
      <c r="I310" s="261"/>
      <c r="J310" s="193">
        <f t="shared" si="2"/>
        <v>0</v>
      </c>
    </row>
    <row r="311" spans="1:10" ht="15">
      <c r="A311" s="217"/>
      <c r="B311" s="218"/>
      <c r="C311" s="218"/>
      <c r="D311" s="218"/>
      <c r="E311" s="218"/>
      <c r="F311" s="260"/>
      <c r="G311" s="224"/>
      <c r="H311" s="260"/>
      <c r="I311" s="261"/>
      <c r="J311" s="193">
        <f t="shared" si="2"/>
        <v>0</v>
      </c>
    </row>
    <row r="312" spans="1:10" ht="15">
      <c r="A312" s="217"/>
      <c r="B312" s="218"/>
      <c r="C312" s="218"/>
      <c r="D312" s="218"/>
      <c r="E312" s="218"/>
      <c r="F312" s="260"/>
      <c r="G312" s="224"/>
      <c r="H312" s="260"/>
      <c r="I312" s="261"/>
      <c r="J312" s="193">
        <f t="shared" si="2"/>
        <v>0</v>
      </c>
    </row>
    <row r="313" spans="1:10" ht="15">
      <c r="A313" s="217"/>
      <c r="B313" s="218"/>
      <c r="C313" s="218"/>
      <c r="D313" s="218"/>
      <c r="E313" s="218"/>
      <c r="F313" s="260"/>
      <c r="G313" s="224"/>
      <c r="H313" s="260"/>
      <c r="I313" s="261"/>
      <c r="J313" s="193">
        <f t="shared" si="2"/>
        <v>0</v>
      </c>
    </row>
    <row r="314" spans="1:10" ht="15">
      <c r="A314" s="217"/>
      <c r="B314" s="218"/>
      <c r="C314" s="218"/>
      <c r="D314" s="218"/>
      <c r="E314" s="218"/>
      <c r="F314" s="260"/>
      <c r="G314" s="224"/>
      <c r="H314" s="260"/>
      <c r="I314" s="261"/>
      <c r="J314" s="193">
        <f t="shared" si="2"/>
        <v>0</v>
      </c>
    </row>
    <row r="315" spans="1:10" ht="15">
      <c r="A315" s="217"/>
      <c r="B315" s="218"/>
      <c r="C315" s="218"/>
      <c r="D315" s="218"/>
      <c r="E315" s="218"/>
      <c r="F315" s="260"/>
      <c r="G315" s="224"/>
      <c r="H315" s="260"/>
      <c r="I315" s="261"/>
      <c r="J315" s="193">
        <f t="shared" si="2"/>
        <v>0</v>
      </c>
    </row>
    <row r="316" spans="1:10" ht="15">
      <c r="A316" s="217"/>
      <c r="B316" s="218"/>
      <c r="C316" s="218"/>
      <c r="D316" s="218"/>
      <c r="E316" s="218"/>
      <c r="F316" s="260"/>
      <c r="G316" s="224"/>
      <c r="H316" s="260"/>
      <c r="I316" s="261"/>
      <c r="J316" s="193">
        <f t="shared" si="2"/>
        <v>0</v>
      </c>
    </row>
    <row r="317" spans="1:10" ht="15">
      <c r="A317" s="217"/>
      <c r="B317" s="218"/>
      <c r="C317" s="218"/>
      <c r="D317" s="218"/>
      <c r="E317" s="218"/>
      <c r="F317" s="260"/>
      <c r="G317" s="224"/>
      <c r="H317" s="260"/>
      <c r="I317" s="261"/>
      <c r="J317" s="193">
        <f t="shared" si="2"/>
        <v>0</v>
      </c>
    </row>
    <row r="318" spans="1:10" ht="15">
      <c r="A318" s="217"/>
      <c r="B318" s="218"/>
      <c r="C318" s="218"/>
      <c r="D318" s="218"/>
      <c r="E318" s="218"/>
      <c r="F318" s="260"/>
      <c r="G318" s="224"/>
      <c r="H318" s="260"/>
      <c r="I318" s="261"/>
      <c r="J318" s="193">
        <f t="shared" si="2"/>
        <v>0</v>
      </c>
    </row>
    <row r="319" spans="1:10" ht="15">
      <c r="A319" s="217"/>
      <c r="B319" s="218"/>
      <c r="C319" s="218"/>
      <c r="D319" s="218"/>
      <c r="E319" s="218"/>
      <c r="F319" s="260"/>
      <c r="G319" s="224"/>
      <c r="H319" s="260"/>
      <c r="I319" s="261"/>
      <c r="J319" s="193">
        <f t="shared" si="2"/>
        <v>0</v>
      </c>
    </row>
    <row r="320" spans="1:10" ht="15">
      <c r="A320" s="217"/>
      <c r="B320" s="218"/>
      <c r="C320" s="218"/>
      <c r="D320" s="218"/>
      <c r="E320" s="218"/>
      <c r="F320" s="260"/>
      <c r="G320" s="224"/>
      <c r="H320" s="260"/>
      <c r="I320" s="261"/>
      <c r="J320" s="193">
        <f t="shared" si="2"/>
        <v>0</v>
      </c>
    </row>
    <row r="321" spans="1:10" ht="15">
      <c r="A321" s="217"/>
      <c r="B321" s="218"/>
      <c r="C321" s="218"/>
      <c r="D321" s="218"/>
      <c r="E321" s="218"/>
      <c r="F321" s="260"/>
      <c r="G321" s="224"/>
      <c r="H321" s="260"/>
      <c r="I321" s="261"/>
      <c r="J321" s="193">
        <f t="shared" si="2"/>
        <v>0</v>
      </c>
    </row>
    <row r="322" spans="1:10" ht="15">
      <c r="A322" s="217"/>
      <c r="B322" s="218"/>
      <c r="C322" s="218"/>
      <c r="D322" s="218"/>
      <c r="E322" s="218"/>
      <c r="F322" s="260"/>
      <c r="G322" s="224"/>
      <c r="H322" s="260"/>
      <c r="I322" s="261"/>
      <c r="J322" s="193">
        <f t="shared" si="2"/>
        <v>0</v>
      </c>
    </row>
    <row r="323" spans="1:10" ht="15">
      <c r="A323" s="217"/>
      <c r="B323" s="218"/>
      <c r="C323" s="218"/>
      <c r="D323" s="218"/>
      <c r="E323" s="218"/>
      <c r="F323" s="260"/>
      <c r="G323" s="224"/>
      <c r="H323" s="260"/>
      <c r="I323" s="261"/>
      <c r="J323" s="193">
        <f t="shared" si="2"/>
        <v>0</v>
      </c>
    </row>
    <row r="324" spans="1:10" ht="15">
      <c r="A324" s="217"/>
      <c r="B324" s="218"/>
      <c r="C324" s="218"/>
      <c r="D324" s="218"/>
      <c r="E324" s="218"/>
      <c r="F324" s="260"/>
      <c r="G324" s="224"/>
      <c r="H324" s="260"/>
      <c r="I324" s="261"/>
      <c r="J324" s="193">
        <f t="shared" si="2"/>
        <v>0</v>
      </c>
    </row>
    <row r="325" spans="1:10" ht="15">
      <c r="A325" s="217"/>
      <c r="B325" s="218"/>
      <c r="C325" s="218"/>
      <c r="D325" s="218"/>
      <c r="E325" s="218"/>
      <c r="F325" s="260"/>
      <c r="G325" s="224"/>
      <c r="H325" s="260"/>
      <c r="I325" s="261"/>
      <c r="J325" s="193">
        <f t="shared" si="2"/>
        <v>0</v>
      </c>
    </row>
    <row r="326" spans="1:10" ht="15">
      <c r="A326" s="217"/>
      <c r="B326" s="218"/>
      <c r="C326" s="218"/>
      <c r="D326" s="218"/>
      <c r="E326" s="218"/>
      <c r="F326" s="260"/>
      <c r="G326" s="224"/>
      <c r="H326" s="260"/>
      <c r="I326" s="261"/>
      <c r="J326" s="193">
        <f t="shared" si="2"/>
        <v>0</v>
      </c>
    </row>
    <row r="327" spans="1:10" ht="15">
      <c r="A327" s="217"/>
      <c r="B327" s="218"/>
      <c r="C327" s="218"/>
      <c r="D327" s="218"/>
      <c r="E327" s="218"/>
      <c r="F327" s="260"/>
      <c r="G327" s="224"/>
      <c r="H327" s="260"/>
      <c r="I327" s="261"/>
      <c r="J327" s="193">
        <f t="shared" si="2"/>
        <v>0</v>
      </c>
    </row>
    <row r="328" spans="1:10" ht="15">
      <c r="A328" s="217"/>
      <c r="B328" s="218"/>
      <c r="C328" s="218"/>
      <c r="D328" s="218"/>
      <c r="E328" s="218"/>
      <c r="F328" s="260"/>
      <c r="G328" s="224"/>
      <c r="H328" s="260"/>
      <c r="I328" s="261"/>
      <c r="J328" s="193">
        <f t="shared" si="2"/>
        <v>0</v>
      </c>
    </row>
    <row r="329" spans="1:10" ht="15">
      <c r="A329" s="217"/>
      <c r="B329" s="218"/>
      <c r="C329" s="218"/>
      <c r="D329" s="218"/>
      <c r="E329" s="218"/>
      <c r="F329" s="260"/>
      <c r="G329" s="224"/>
      <c r="H329" s="260"/>
      <c r="I329" s="261"/>
      <c r="J329" s="193">
        <f t="shared" si="2"/>
        <v>0</v>
      </c>
    </row>
    <row r="330" spans="1:10" ht="15">
      <c r="A330" s="217"/>
      <c r="B330" s="218"/>
      <c r="C330" s="218"/>
      <c r="D330" s="218"/>
      <c r="E330" s="218"/>
      <c r="F330" s="260"/>
      <c r="G330" s="224"/>
      <c r="H330" s="260"/>
      <c r="I330" s="261"/>
      <c r="J330" s="193">
        <f t="shared" si="2"/>
        <v>0</v>
      </c>
    </row>
    <row r="331" spans="1:10" ht="15">
      <c r="A331" s="217"/>
      <c r="B331" s="218"/>
      <c r="C331" s="218"/>
      <c r="D331" s="218"/>
      <c r="E331" s="218"/>
      <c r="F331" s="260"/>
      <c r="G331" s="224"/>
      <c r="H331" s="260"/>
      <c r="I331" s="261"/>
      <c r="J331" s="193">
        <f t="shared" si="2"/>
        <v>0</v>
      </c>
    </row>
    <row r="332" spans="1:10" ht="15">
      <c r="A332" s="217"/>
      <c r="B332" s="218"/>
      <c r="C332" s="218"/>
      <c r="D332" s="218"/>
      <c r="E332" s="218"/>
      <c r="F332" s="260"/>
      <c r="G332" s="224"/>
      <c r="H332" s="260"/>
      <c r="I332" s="261"/>
      <c r="J332" s="193">
        <f t="shared" si="2"/>
        <v>0</v>
      </c>
    </row>
    <row r="333" spans="1:10" ht="15">
      <c r="A333" s="217"/>
      <c r="B333" s="218"/>
      <c r="C333" s="218"/>
      <c r="D333" s="218"/>
      <c r="E333" s="218"/>
      <c r="F333" s="260"/>
      <c r="G333" s="224"/>
      <c r="H333" s="260"/>
      <c r="I333" s="261"/>
      <c r="J333" s="193">
        <f t="shared" si="2"/>
        <v>0</v>
      </c>
    </row>
    <row r="334" spans="1:10" ht="15">
      <c r="A334" s="217"/>
      <c r="B334" s="218"/>
      <c r="C334" s="218"/>
      <c r="D334" s="218"/>
      <c r="E334" s="218"/>
      <c r="F334" s="260"/>
      <c r="G334" s="224"/>
      <c r="H334" s="260"/>
      <c r="I334" s="261"/>
      <c r="J334" s="193">
        <f t="shared" si="2"/>
        <v>0</v>
      </c>
    </row>
    <row r="335" spans="1:10" ht="15">
      <c r="A335" s="217"/>
      <c r="B335" s="218"/>
      <c r="C335" s="218"/>
      <c r="D335" s="218"/>
      <c r="E335" s="218"/>
      <c r="F335" s="260"/>
      <c r="G335" s="224"/>
      <c r="H335" s="260"/>
      <c r="I335" s="261"/>
      <c r="J335" s="193">
        <f t="shared" si="2"/>
        <v>0</v>
      </c>
    </row>
    <row r="336" spans="1:10" ht="15">
      <c r="A336" s="217"/>
      <c r="B336" s="218"/>
      <c r="C336" s="218"/>
      <c r="D336" s="218"/>
      <c r="E336" s="218"/>
      <c r="F336" s="260"/>
      <c r="G336" s="224"/>
      <c r="H336" s="260"/>
      <c r="I336" s="261"/>
      <c r="J336" s="193">
        <f t="shared" si="2"/>
        <v>0</v>
      </c>
    </row>
    <row r="337" spans="1:10" ht="15">
      <c r="A337" s="217"/>
      <c r="B337" s="218"/>
      <c r="C337" s="218"/>
      <c r="D337" s="218"/>
      <c r="E337" s="218"/>
      <c r="F337" s="260"/>
      <c r="G337" s="224"/>
      <c r="H337" s="260"/>
      <c r="I337" s="261"/>
      <c r="J337" s="193">
        <f t="shared" si="2"/>
        <v>0</v>
      </c>
    </row>
    <row r="338" spans="1:10" ht="15">
      <c r="A338" s="217"/>
      <c r="B338" s="218"/>
      <c r="C338" s="218"/>
      <c r="D338" s="218"/>
      <c r="E338" s="218"/>
      <c r="F338" s="260"/>
      <c r="G338" s="224"/>
      <c r="H338" s="260"/>
      <c r="I338" s="261"/>
      <c r="J338" s="193">
        <f t="shared" si="2"/>
        <v>0</v>
      </c>
    </row>
    <row r="339" spans="1:10" ht="15">
      <c r="A339" s="217"/>
      <c r="B339" s="218"/>
      <c r="C339" s="218"/>
      <c r="D339" s="218"/>
      <c r="E339" s="218"/>
      <c r="F339" s="260"/>
      <c r="G339" s="224"/>
      <c r="H339" s="260"/>
      <c r="I339" s="261"/>
      <c r="J339" s="193">
        <f t="shared" si="2"/>
        <v>0</v>
      </c>
    </row>
    <row r="340" spans="1:10" ht="15">
      <c r="A340" s="217"/>
      <c r="B340" s="218"/>
      <c r="C340" s="218"/>
      <c r="D340" s="218"/>
      <c r="E340" s="218"/>
      <c r="F340" s="260"/>
      <c r="G340" s="224"/>
      <c r="H340" s="260"/>
      <c r="I340" s="261"/>
      <c r="J340" s="193">
        <f t="shared" si="2"/>
        <v>0</v>
      </c>
    </row>
    <row r="341" spans="1:10" ht="15">
      <c r="A341" s="217"/>
      <c r="B341" s="218"/>
      <c r="C341" s="218"/>
      <c r="D341" s="218"/>
      <c r="E341" s="218"/>
      <c r="F341" s="260"/>
      <c r="G341" s="224"/>
      <c r="H341" s="260"/>
      <c r="I341" s="261"/>
      <c r="J341" s="193">
        <f t="shared" si="2"/>
        <v>0</v>
      </c>
    </row>
    <row r="342" spans="1:10" ht="15">
      <c r="A342" s="217"/>
      <c r="B342" s="218"/>
      <c r="C342" s="218"/>
      <c r="D342" s="218"/>
      <c r="E342" s="218"/>
      <c r="F342" s="260"/>
      <c r="G342" s="224"/>
      <c r="H342" s="260"/>
      <c r="I342" s="261"/>
      <c r="J342" s="193">
        <f t="shared" si="2"/>
        <v>0</v>
      </c>
    </row>
    <row r="343" spans="1:10" ht="15">
      <c r="A343" s="217"/>
      <c r="B343" s="218"/>
      <c r="C343" s="218"/>
      <c r="D343" s="218"/>
      <c r="E343" s="218"/>
      <c r="F343" s="260"/>
      <c r="G343" s="224"/>
      <c r="H343" s="260"/>
      <c r="I343" s="261"/>
      <c r="J343" s="193">
        <f t="shared" si="2"/>
        <v>0</v>
      </c>
    </row>
    <row r="344" spans="1:10" ht="15">
      <c r="A344" s="217"/>
      <c r="B344" s="218"/>
      <c r="C344" s="218"/>
      <c r="D344" s="218"/>
      <c r="E344" s="218"/>
      <c r="F344" s="260"/>
      <c r="G344" s="224"/>
      <c r="H344" s="260"/>
      <c r="I344" s="261"/>
      <c r="J344" s="193">
        <f t="shared" si="2"/>
        <v>0</v>
      </c>
    </row>
    <row r="345" spans="1:10" ht="15">
      <c r="A345" s="217"/>
      <c r="B345" s="218"/>
      <c r="C345" s="218"/>
      <c r="D345" s="218"/>
      <c r="E345" s="218"/>
      <c r="F345" s="260"/>
      <c r="G345" s="224"/>
      <c r="H345" s="260"/>
      <c r="I345" s="261"/>
      <c r="J345" s="193">
        <f t="shared" si="2"/>
        <v>0</v>
      </c>
    </row>
    <row r="346" spans="1:10" ht="15">
      <c r="A346" s="217"/>
      <c r="B346" s="218"/>
      <c r="C346" s="218"/>
      <c r="D346" s="218"/>
      <c r="E346" s="218"/>
      <c r="F346" s="260"/>
      <c r="G346" s="224"/>
      <c r="H346" s="260"/>
      <c r="I346" s="261"/>
      <c r="J346" s="193">
        <f t="shared" si="2"/>
        <v>0</v>
      </c>
    </row>
    <row r="347" spans="1:10" ht="15">
      <c r="A347" s="217"/>
      <c r="B347" s="218"/>
      <c r="C347" s="218"/>
      <c r="D347" s="218"/>
      <c r="E347" s="218"/>
      <c r="F347" s="260"/>
      <c r="G347" s="224"/>
      <c r="H347" s="260"/>
      <c r="I347" s="261"/>
      <c r="J347" s="193">
        <f t="shared" si="2"/>
        <v>0</v>
      </c>
    </row>
    <row r="348" spans="1:10" ht="15">
      <c r="A348" s="217"/>
      <c r="B348" s="218"/>
      <c r="C348" s="218"/>
      <c r="D348" s="218"/>
      <c r="E348" s="218"/>
      <c r="F348" s="260"/>
      <c r="G348" s="224"/>
      <c r="H348" s="260"/>
      <c r="I348" s="261"/>
      <c r="J348" s="193">
        <f t="shared" si="2"/>
        <v>0</v>
      </c>
    </row>
    <row r="349" spans="1:10" ht="15">
      <c r="A349" s="217"/>
      <c r="B349" s="218"/>
      <c r="C349" s="218"/>
      <c r="D349" s="218"/>
      <c r="E349" s="218"/>
      <c r="F349" s="260"/>
      <c r="G349" s="224"/>
      <c r="H349" s="260"/>
      <c r="I349" s="261"/>
      <c r="J349" s="193">
        <f t="shared" si="2"/>
        <v>0</v>
      </c>
    </row>
    <row r="350" spans="1:10" ht="15">
      <c r="A350" s="217"/>
      <c r="B350" s="218"/>
      <c r="C350" s="218"/>
      <c r="D350" s="218"/>
      <c r="E350" s="218"/>
      <c r="F350" s="260"/>
      <c r="G350" s="224"/>
      <c r="H350" s="260"/>
      <c r="I350" s="261"/>
      <c r="J350" s="193">
        <f t="shared" si="2"/>
        <v>0</v>
      </c>
    </row>
    <row r="351" spans="1:10" ht="15">
      <c r="A351" s="217"/>
      <c r="B351" s="218"/>
      <c r="C351" s="218"/>
      <c r="D351" s="218"/>
      <c r="E351" s="218"/>
      <c r="F351" s="260"/>
      <c r="G351" s="224"/>
      <c r="H351" s="260"/>
      <c r="I351" s="261"/>
      <c r="J351" s="193">
        <f t="shared" si="2"/>
        <v>0</v>
      </c>
    </row>
    <row r="352" spans="1:10" ht="15">
      <c r="A352" s="217"/>
      <c r="B352" s="218"/>
      <c r="C352" s="218"/>
      <c r="D352" s="218"/>
      <c r="E352" s="218"/>
      <c r="F352" s="260"/>
      <c r="G352" s="224"/>
      <c r="H352" s="260"/>
      <c r="I352" s="261"/>
      <c r="J352" s="193">
        <f t="shared" si="2"/>
        <v>0</v>
      </c>
    </row>
    <row r="353" spans="1:10" ht="15">
      <c r="A353" s="217"/>
      <c r="B353" s="218"/>
      <c r="C353" s="218"/>
      <c r="D353" s="218"/>
      <c r="E353" s="218"/>
      <c r="F353" s="260"/>
      <c r="G353" s="224"/>
      <c r="H353" s="260"/>
      <c r="I353" s="261"/>
      <c r="J353" s="193">
        <f t="shared" si="2"/>
        <v>0</v>
      </c>
    </row>
    <row r="354" spans="1:10" ht="15">
      <c r="A354" s="217"/>
      <c r="B354" s="218"/>
      <c r="C354" s="218"/>
      <c r="D354" s="218"/>
      <c r="E354" s="218"/>
      <c r="F354" s="260"/>
      <c r="G354" s="224"/>
      <c r="H354" s="260"/>
      <c r="I354" s="261"/>
      <c r="J354" s="193">
        <f t="shared" si="2"/>
        <v>0</v>
      </c>
    </row>
    <row r="355" spans="1:10" ht="15">
      <c r="A355" s="217"/>
      <c r="B355" s="218"/>
      <c r="C355" s="218"/>
      <c r="D355" s="218"/>
      <c r="E355" s="218"/>
      <c r="F355" s="260"/>
      <c r="G355" s="224"/>
      <c r="H355" s="260"/>
      <c r="I355" s="261"/>
      <c r="J355" s="193">
        <f t="shared" si="2"/>
        <v>0</v>
      </c>
    </row>
    <row r="356" spans="1:10" ht="15">
      <c r="A356" s="217"/>
      <c r="B356" s="218"/>
      <c r="C356" s="218"/>
      <c r="D356" s="218"/>
      <c r="E356" s="218"/>
      <c r="F356" s="260"/>
      <c r="G356" s="224"/>
      <c r="H356" s="260"/>
      <c r="I356" s="261"/>
      <c r="J356" s="193">
        <f t="shared" si="2"/>
        <v>0</v>
      </c>
    </row>
    <row r="357" spans="1:10" ht="15">
      <c r="A357" s="217"/>
      <c r="B357" s="218"/>
      <c r="C357" s="218"/>
      <c r="D357" s="218"/>
      <c r="E357" s="218"/>
      <c r="F357" s="260"/>
      <c r="G357" s="224"/>
      <c r="H357" s="260"/>
      <c r="I357" s="261"/>
      <c r="J357" s="193">
        <f t="shared" si="2"/>
        <v>0</v>
      </c>
    </row>
    <row r="358" spans="1:10" ht="15">
      <c r="A358" s="217"/>
      <c r="B358" s="218"/>
      <c r="C358" s="218"/>
      <c r="D358" s="218"/>
      <c r="E358" s="218"/>
      <c r="F358" s="260"/>
      <c r="G358" s="224"/>
      <c r="H358" s="260"/>
      <c r="I358" s="261"/>
      <c r="J358" s="193">
        <f t="shared" si="2"/>
        <v>0</v>
      </c>
    </row>
    <row r="359" spans="1:10" ht="15">
      <c r="A359" s="217"/>
      <c r="B359" s="218"/>
      <c r="C359" s="218"/>
      <c r="D359" s="218"/>
      <c r="E359" s="218"/>
      <c r="F359" s="260"/>
      <c r="G359" s="224"/>
      <c r="H359" s="260"/>
      <c r="I359" s="261"/>
      <c r="J359" s="193">
        <f t="shared" si="2"/>
        <v>0</v>
      </c>
    </row>
    <row r="360" spans="1:10" ht="15">
      <c r="A360" s="217"/>
      <c r="B360" s="218"/>
      <c r="C360" s="218"/>
      <c r="D360" s="218"/>
      <c r="E360" s="218"/>
      <c r="F360" s="260"/>
      <c r="G360" s="224"/>
      <c r="H360" s="260"/>
      <c r="I360" s="261"/>
      <c r="J360" s="193">
        <f t="shared" si="2"/>
        <v>0</v>
      </c>
    </row>
    <row r="361" spans="1:10" ht="15">
      <c r="A361" s="217"/>
      <c r="B361" s="218"/>
      <c r="C361" s="218"/>
      <c r="D361" s="218"/>
      <c r="E361" s="218"/>
      <c r="F361" s="260"/>
      <c r="G361" s="224"/>
      <c r="H361" s="260"/>
      <c r="I361" s="261"/>
      <c r="J361" s="193">
        <f t="shared" si="2"/>
        <v>0</v>
      </c>
    </row>
    <row r="362" spans="1:10" ht="15">
      <c r="A362" s="217"/>
      <c r="B362" s="218"/>
      <c r="C362" s="218"/>
      <c r="D362" s="218"/>
      <c r="E362" s="218"/>
      <c r="F362" s="260"/>
      <c r="G362" s="224"/>
      <c r="H362" s="260"/>
      <c r="I362" s="261"/>
      <c r="J362" s="193">
        <f t="shared" si="2"/>
        <v>0</v>
      </c>
    </row>
    <row r="363" spans="1:10" ht="15">
      <c r="A363" s="217"/>
      <c r="B363" s="218"/>
      <c r="C363" s="218"/>
      <c r="D363" s="218"/>
      <c r="E363" s="218"/>
      <c r="F363" s="260"/>
      <c r="G363" s="224"/>
      <c r="H363" s="260"/>
      <c r="I363" s="261"/>
      <c r="J363" s="193">
        <f t="shared" si="2"/>
        <v>0</v>
      </c>
    </row>
    <row r="364" spans="1:10" ht="15">
      <c r="A364" s="217"/>
      <c r="B364" s="218"/>
      <c r="C364" s="218"/>
      <c r="D364" s="218"/>
      <c r="E364" s="218"/>
      <c r="F364" s="260"/>
      <c r="G364" s="224"/>
      <c r="H364" s="260"/>
      <c r="I364" s="261"/>
      <c r="J364" s="193">
        <f t="shared" si="2"/>
        <v>0</v>
      </c>
    </row>
    <row r="365" spans="1:10" ht="15">
      <c r="A365" s="217"/>
      <c r="B365" s="218"/>
      <c r="C365" s="218"/>
      <c r="D365" s="218"/>
      <c r="E365" s="218"/>
      <c r="F365" s="260"/>
      <c r="G365" s="224"/>
      <c r="H365" s="260"/>
      <c r="I365" s="261"/>
      <c r="J365" s="193">
        <f t="shared" si="2"/>
        <v>0</v>
      </c>
    </row>
    <row r="366" spans="1:10" ht="15">
      <c r="A366" s="217"/>
      <c r="B366" s="218"/>
      <c r="C366" s="218"/>
      <c r="D366" s="218"/>
      <c r="E366" s="218"/>
      <c r="F366" s="260"/>
      <c r="G366" s="224"/>
      <c r="H366" s="260"/>
      <c r="I366" s="261"/>
      <c r="J366" s="193">
        <f t="shared" si="2"/>
        <v>0</v>
      </c>
    </row>
    <row r="367" spans="1:10" ht="15">
      <c r="A367" s="217"/>
      <c r="B367" s="218"/>
      <c r="C367" s="218"/>
      <c r="D367" s="218"/>
      <c r="E367" s="218"/>
      <c r="F367" s="260"/>
      <c r="G367" s="224"/>
      <c r="H367" s="260"/>
      <c r="I367" s="261"/>
      <c r="J367" s="193">
        <f t="shared" si="2"/>
        <v>0</v>
      </c>
    </row>
    <row r="368" spans="1:10" ht="15">
      <c r="A368" s="217"/>
      <c r="B368" s="218"/>
      <c r="C368" s="218"/>
      <c r="D368" s="218"/>
      <c r="E368" s="218"/>
      <c r="F368" s="260"/>
      <c r="G368" s="224"/>
      <c r="H368" s="260"/>
      <c r="I368" s="261"/>
      <c r="J368" s="193">
        <f t="shared" si="2"/>
        <v>0</v>
      </c>
    </row>
    <row r="369" spans="1:10" ht="15">
      <c r="A369" s="217"/>
      <c r="B369" s="218"/>
      <c r="C369" s="218"/>
      <c r="D369" s="218"/>
      <c r="E369" s="218"/>
      <c r="F369" s="260"/>
      <c r="G369" s="224"/>
      <c r="H369" s="260"/>
      <c r="I369" s="261"/>
      <c r="J369" s="193">
        <f t="shared" si="2"/>
        <v>0</v>
      </c>
    </row>
    <row r="370" spans="1:10" ht="15">
      <c r="A370" s="217"/>
      <c r="B370" s="218"/>
      <c r="C370" s="218"/>
      <c r="D370" s="218"/>
      <c r="E370" s="218"/>
      <c r="F370" s="260"/>
      <c r="G370" s="224"/>
      <c r="H370" s="260"/>
      <c r="I370" s="261"/>
      <c r="J370" s="193">
        <f t="shared" si="2"/>
        <v>0</v>
      </c>
    </row>
    <row r="371" spans="1:10" ht="15">
      <c r="A371" s="217"/>
      <c r="B371" s="218"/>
      <c r="C371" s="218"/>
      <c r="D371" s="218"/>
      <c r="E371" s="218"/>
      <c r="F371" s="260"/>
      <c r="G371" s="224"/>
      <c r="H371" s="260"/>
      <c r="I371" s="261"/>
      <c r="J371" s="193">
        <f t="shared" si="2"/>
        <v>0</v>
      </c>
    </row>
    <row r="372" spans="1:10" ht="15">
      <c r="A372" s="217"/>
      <c r="B372" s="218"/>
      <c r="C372" s="218"/>
      <c r="D372" s="218"/>
      <c r="E372" s="218"/>
      <c r="F372" s="260"/>
      <c r="G372" s="224"/>
      <c r="H372" s="260"/>
      <c r="I372" s="261"/>
      <c r="J372" s="193">
        <f t="shared" si="2"/>
        <v>0</v>
      </c>
    </row>
    <row r="373" spans="1:10" ht="15">
      <c r="A373" s="217"/>
      <c r="B373" s="218"/>
      <c r="C373" s="218"/>
      <c r="D373" s="218"/>
      <c r="E373" s="218"/>
      <c r="F373" s="260"/>
      <c r="G373" s="224"/>
      <c r="H373" s="260"/>
      <c r="I373" s="261"/>
      <c r="J373" s="193">
        <f t="shared" si="2"/>
        <v>0</v>
      </c>
    </row>
    <row r="374" spans="1:10" ht="15">
      <c r="A374" s="217"/>
      <c r="B374" s="218"/>
      <c r="C374" s="218"/>
      <c r="D374" s="218"/>
      <c r="E374" s="218"/>
      <c r="F374" s="260"/>
      <c r="G374" s="224"/>
      <c r="H374" s="260"/>
      <c r="I374" s="261"/>
      <c r="J374" s="193">
        <f t="shared" si="2"/>
        <v>0</v>
      </c>
    </row>
    <row r="375" spans="1:10" ht="15">
      <c r="A375" s="217"/>
      <c r="B375" s="218"/>
      <c r="C375" s="218"/>
      <c r="D375" s="218"/>
      <c r="E375" s="218"/>
      <c r="F375" s="260"/>
      <c r="G375" s="224"/>
      <c r="H375" s="260"/>
      <c r="I375" s="261"/>
      <c r="J375" s="193">
        <f t="shared" si="2"/>
        <v>0</v>
      </c>
    </row>
    <row r="376" spans="1:10" ht="15">
      <c r="A376" s="217"/>
      <c r="B376" s="218"/>
      <c r="C376" s="218"/>
      <c r="D376" s="218"/>
      <c r="E376" s="218"/>
      <c r="F376" s="260"/>
      <c r="G376" s="224"/>
      <c r="H376" s="260"/>
      <c r="I376" s="261"/>
      <c r="J376" s="193">
        <f t="shared" si="2"/>
        <v>0</v>
      </c>
    </row>
    <row r="377" spans="1:10" ht="15">
      <c r="A377" s="217"/>
      <c r="B377" s="218"/>
      <c r="C377" s="218"/>
      <c r="D377" s="218"/>
      <c r="E377" s="218"/>
      <c r="F377" s="260"/>
      <c r="G377" s="224"/>
      <c r="H377" s="260"/>
      <c r="I377" s="261"/>
      <c r="J377" s="193">
        <f t="shared" si="2"/>
        <v>0</v>
      </c>
    </row>
    <row r="378" spans="1:10" ht="15">
      <c r="A378" s="217"/>
      <c r="B378" s="218"/>
      <c r="C378" s="218"/>
      <c r="D378" s="218"/>
      <c r="E378" s="218"/>
      <c r="F378" s="260"/>
      <c r="G378" s="224"/>
      <c r="H378" s="260"/>
      <c r="I378" s="261"/>
      <c r="J378" s="193">
        <f t="shared" si="2"/>
        <v>0</v>
      </c>
    </row>
    <row r="379" spans="1:10" ht="15">
      <c r="A379" s="217"/>
      <c r="B379" s="218"/>
      <c r="C379" s="218"/>
      <c r="D379" s="218"/>
      <c r="E379" s="218"/>
      <c r="F379" s="260"/>
      <c r="G379" s="224"/>
      <c r="H379" s="260"/>
      <c r="I379" s="261"/>
      <c r="J379" s="193">
        <f t="shared" si="2"/>
        <v>0</v>
      </c>
    </row>
    <row r="380" spans="1:10" ht="15">
      <c r="A380" s="217"/>
      <c r="B380" s="218"/>
      <c r="C380" s="218"/>
      <c r="D380" s="218"/>
      <c r="E380" s="218"/>
      <c r="F380" s="260"/>
      <c r="G380" s="224"/>
      <c r="H380" s="260"/>
      <c r="I380" s="261"/>
      <c r="J380" s="193">
        <f t="shared" si="2"/>
        <v>0</v>
      </c>
    </row>
    <row r="381" spans="1:10" ht="15">
      <c r="A381" s="217"/>
      <c r="B381" s="218"/>
      <c r="C381" s="218"/>
      <c r="D381" s="218"/>
      <c r="E381" s="218"/>
      <c r="F381" s="260"/>
      <c r="G381" s="224"/>
      <c r="H381" s="260"/>
      <c r="I381" s="261"/>
      <c r="J381" s="193">
        <f t="shared" si="2"/>
        <v>0</v>
      </c>
    </row>
    <row r="382" spans="1:10" ht="15">
      <c r="A382" s="217"/>
      <c r="B382" s="218"/>
      <c r="C382" s="218"/>
      <c r="D382" s="218"/>
      <c r="E382" s="218"/>
      <c r="F382" s="260"/>
      <c r="G382" s="224"/>
      <c r="H382" s="260"/>
      <c r="I382" s="261"/>
      <c r="J382" s="193">
        <f t="shared" si="2"/>
        <v>0</v>
      </c>
    </row>
    <row r="383" spans="1:10" ht="15">
      <c r="A383" s="217"/>
      <c r="B383" s="218"/>
      <c r="C383" s="218"/>
      <c r="D383" s="218"/>
      <c r="E383" s="218"/>
      <c r="F383" s="260"/>
      <c r="G383" s="224"/>
      <c r="H383" s="260"/>
      <c r="I383" s="261"/>
      <c r="J383" s="193">
        <f t="shared" si="2"/>
        <v>0</v>
      </c>
    </row>
    <row r="384" spans="1:10" ht="15">
      <c r="A384" s="217"/>
      <c r="B384" s="218"/>
      <c r="C384" s="218"/>
      <c r="D384" s="218"/>
      <c r="E384" s="218"/>
      <c r="F384" s="260"/>
      <c r="G384" s="224"/>
      <c r="H384" s="260"/>
      <c r="I384" s="261"/>
      <c r="J384" s="193">
        <f t="shared" si="2"/>
        <v>0</v>
      </c>
    </row>
    <row r="385" spans="1:10" ht="15">
      <c r="A385" s="217"/>
      <c r="B385" s="218"/>
      <c r="C385" s="218"/>
      <c r="D385" s="218"/>
      <c r="E385" s="218"/>
      <c r="F385" s="260"/>
      <c r="G385" s="224"/>
      <c r="H385" s="260"/>
      <c r="I385" s="261"/>
      <c r="J385" s="193">
        <f t="shared" si="2"/>
        <v>0</v>
      </c>
    </row>
    <row r="386" spans="1:10" ht="15">
      <c r="A386" s="217"/>
      <c r="B386" s="218"/>
      <c r="C386" s="218"/>
      <c r="D386" s="218"/>
      <c r="E386" s="218"/>
      <c r="F386" s="260"/>
      <c r="G386" s="224"/>
      <c r="H386" s="260"/>
      <c r="I386" s="261"/>
      <c r="J386" s="193">
        <f t="shared" si="2"/>
        <v>0</v>
      </c>
    </row>
    <row r="387" spans="1:10" ht="15">
      <c r="A387" s="217"/>
      <c r="B387" s="218"/>
      <c r="C387" s="218"/>
      <c r="D387" s="218"/>
      <c r="E387" s="218"/>
      <c r="F387" s="260"/>
      <c r="G387" s="224"/>
      <c r="H387" s="260"/>
      <c r="I387" s="261"/>
      <c r="J387" s="193">
        <f t="shared" si="2"/>
        <v>0</v>
      </c>
    </row>
    <row r="388" spans="1:10" ht="15">
      <c r="A388" s="217"/>
      <c r="B388" s="218"/>
      <c r="C388" s="218"/>
      <c r="D388" s="218"/>
      <c r="E388" s="218"/>
      <c r="F388" s="260"/>
      <c r="G388" s="224"/>
      <c r="H388" s="260"/>
      <c r="I388" s="261"/>
      <c r="J388" s="193">
        <f t="shared" si="2"/>
        <v>0</v>
      </c>
    </row>
    <row r="389" spans="1:10" ht="15">
      <c r="A389" s="217"/>
      <c r="B389" s="218"/>
      <c r="C389" s="218"/>
      <c r="D389" s="218"/>
      <c r="E389" s="218"/>
      <c r="F389" s="260"/>
      <c r="G389" s="224"/>
      <c r="H389" s="260"/>
      <c r="I389" s="261"/>
      <c r="J389" s="193">
        <f t="shared" si="2"/>
        <v>0</v>
      </c>
    </row>
    <row r="390" spans="1:10" ht="15">
      <c r="A390" s="217"/>
      <c r="B390" s="218"/>
      <c r="C390" s="218"/>
      <c r="D390" s="218"/>
      <c r="E390" s="218"/>
      <c r="F390" s="260"/>
      <c r="G390" s="224"/>
      <c r="H390" s="260"/>
      <c r="I390" s="261"/>
      <c r="J390" s="193">
        <f t="shared" si="2"/>
        <v>0</v>
      </c>
    </row>
    <row r="391" spans="1:10" ht="15">
      <c r="A391" s="217"/>
      <c r="B391" s="218"/>
      <c r="C391" s="218"/>
      <c r="D391" s="218"/>
      <c r="E391" s="218"/>
      <c r="F391" s="260"/>
      <c r="G391" s="224"/>
      <c r="H391" s="260"/>
      <c r="I391" s="261"/>
      <c r="J391" s="193">
        <f t="shared" si="2"/>
        <v>0</v>
      </c>
    </row>
    <row r="392" spans="1:10" ht="15">
      <c r="A392" s="217"/>
      <c r="B392" s="218"/>
      <c r="C392" s="218"/>
      <c r="D392" s="218"/>
      <c r="E392" s="218"/>
      <c r="F392" s="260"/>
      <c r="G392" s="224"/>
      <c r="H392" s="260"/>
      <c r="I392" s="261"/>
      <c r="J392" s="193">
        <f t="shared" si="2"/>
        <v>0</v>
      </c>
    </row>
    <row r="393" spans="1:10" ht="15">
      <c r="A393" s="217"/>
      <c r="B393" s="218"/>
      <c r="C393" s="218"/>
      <c r="D393" s="218"/>
      <c r="E393" s="218"/>
      <c r="F393" s="260"/>
      <c r="G393" s="224"/>
      <c r="H393" s="260"/>
      <c r="I393" s="261"/>
      <c r="J393" s="193">
        <f t="shared" si="2"/>
        <v>0</v>
      </c>
    </row>
    <row r="394" spans="1:10" ht="15">
      <c r="A394" s="217"/>
      <c r="B394" s="218"/>
      <c r="C394" s="218"/>
      <c r="D394" s="218"/>
      <c r="E394" s="218"/>
      <c r="F394" s="260"/>
      <c r="G394" s="224"/>
      <c r="H394" s="260"/>
      <c r="I394" s="261"/>
      <c r="J394" s="193">
        <f t="shared" si="2"/>
        <v>0</v>
      </c>
    </row>
    <row r="395" spans="1:10" ht="15">
      <c r="A395" s="217"/>
      <c r="B395" s="218"/>
      <c r="C395" s="218"/>
      <c r="D395" s="218"/>
      <c r="E395" s="218"/>
      <c r="F395" s="260"/>
      <c r="G395" s="224"/>
      <c r="H395" s="260"/>
      <c r="I395" s="261"/>
      <c r="J395" s="193">
        <f t="shared" si="2"/>
        <v>0</v>
      </c>
    </row>
    <row r="396" spans="1:10" ht="15">
      <c r="A396" s="217"/>
      <c r="B396" s="218"/>
      <c r="C396" s="218"/>
      <c r="D396" s="218"/>
      <c r="E396" s="218"/>
      <c r="F396" s="260"/>
      <c r="G396" s="224"/>
      <c r="H396" s="260"/>
      <c r="I396" s="261"/>
      <c r="J396" s="193">
        <f t="shared" si="2"/>
        <v>0</v>
      </c>
    </row>
    <row r="397" spans="1:10" ht="15">
      <c r="A397" s="217"/>
      <c r="B397" s="218"/>
      <c r="C397" s="218"/>
      <c r="D397" s="218"/>
      <c r="E397" s="218"/>
      <c r="F397" s="260"/>
      <c r="G397" s="224"/>
      <c r="H397" s="260"/>
      <c r="I397" s="261"/>
      <c r="J397" s="193">
        <f t="shared" si="2"/>
        <v>0</v>
      </c>
    </row>
    <row r="398" spans="1:10" ht="15">
      <c r="A398" s="217"/>
      <c r="B398" s="218"/>
      <c r="C398" s="218"/>
      <c r="D398" s="218"/>
      <c r="E398" s="218"/>
      <c r="F398" s="260"/>
      <c r="G398" s="224"/>
      <c r="H398" s="260"/>
      <c r="I398" s="261"/>
      <c r="J398" s="193">
        <f t="shared" si="2"/>
        <v>0</v>
      </c>
    </row>
    <row r="399" spans="1:10" ht="15">
      <c r="A399" s="217"/>
      <c r="B399" s="218"/>
      <c r="C399" s="218"/>
      <c r="D399" s="218"/>
      <c r="E399" s="218"/>
      <c r="F399" s="260"/>
      <c r="G399" s="224"/>
      <c r="H399" s="260"/>
      <c r="I399" s="261"/>
      <c r="J399" s="193">
        <f t="shared" si="2"/>
        <v>0</v>
      </c>
    </row>
    <row r="400" spans="1:10" ht="15">
      <c r="A400" s="217"/>
      <c r="B400" s="218"/>
      <c r="C400" s="218"/>
      <c r="D400" s="218"/>
      <c r="E400" s="218"/>
      <c r="F400" s="260"/>
      <c r="G400" s="224"/>
      <c r="H400" s="260"/>
      <c r="I400" s="261"/>
      <c r="J400" s="193">
        <f t="shared" si="2"/>
        <v>0</v>
      </c>
    </row>
    <row r="401" spans="1:10" ht="15">
      <c r="A401" s="217"/>
      <c r="B401" s="218"/>
      <c r="C401" s="218"/>
      <c r="D401" s="218"/>
      <c r="E401" s="218"/>
      <c r="F401" s="260"/>
      <c r="G401" s="224"/>
      <c r="H401" s="260"/>
      <c r="I401" s="261"/>
      <c r="J401" s="193">
        <f t="shared" si="2"/>
        <v>0</v>
      </c>
    </row>
    <row r="402" spans="1:10" ht="15">
      <c r="A402" s="217"/>
      <c r="B402" s="218"/>
      <c r="C402" s="218"/>
      <c r="D402" s="218"/>
      <c r="E402" s="218"/>
      <c r="F402" s="260"/>
      <c r="G402" s="224"/>
      <c r="H402" s="260"/>
      <c r="I402" s="261"/>
      <c r="J402" s="193">
        <f t="shared" si="2"/>
        <v>0</v>
      </c>
    </row>
    <row r="403" spans="1:10" ht="15">
      <c r="A403" s="217"/>
      <c r="B403" s="218"/>
      <c r="C403" s="218"/>
      <c r="D403" s="218"/>
      <c r="E403" s="218"/>
      <c r="F403" s="260"/>
      <c r="G403" s="224"/>
      <c r="H403" s="260"/>
      <c r="I403" s="261"/>
      <c r="J403" s="193">
        <f t="shared" si="2"/>
        <v>0</v>
      </c>
    </row>
    <row r="404" spans="1:10" ht="15">
      <c r="A404" s="217"/>
      <c r="B404" s="218"/>
      <c r="C404" s="218"/>
      <c r="D404" s="218"/>
      <c r="E404" s="218"/>
      <c r="F404" s="260"/>
      <c r="G404" s="224"/>
      <c r="H404" s="260"/>
      <c r="I404" s="261"/>
      <c r="J404" s="193">
        <f t="shared" si="2"/>
        <v>0</v>
      </c>
    </row>
    <row r="405" spans="1:10" ht="15">
      <c r="A405" s="217"/>
      <c r="B405" s="218"/>
      <c r="C405" s="218"/>
      <c r="D405" s="218"/>
      <c r="E405" s="218"/>
      <c r="F405" s="260"/>
      <c r="G405" s="224"/>
      <c r="H405" s="260"/>
      <c r="I405" s="261"/>
      <c r="J405" s="193">
        <f t="shared" si="2"/>
        <v>0</v>
      </c>
    </row>
    <row r="406" spans="1:10" ht="15">
      <c r="A406" s="217"/>
      <c r="B406" s="218"/>
      <c r="C406" s="218"/>
      <c r="D406" s="218"/>
      <c r="E406" s="218"/>
      <c r="F406" s="260"/>
      <c r="G406" s="224"/>
      <c r="H406" s="260"/>
      <c r="I406" s="261"/>
      <c r="J406" s="193">
        <f t="shared" si="2"/>
        <v>0</v>
      </c>
    </row>
    <row r="407" spans="1:10" ht="15">
      <c r="A407" s="217"/>
      <c r="B407" s="218"/>
      <c r="C407" s="218"/>
      <c r="D407" s="218"/>
      <c r="E407" s="218"/>
      <c r="F407" s="260"/>
      <c r="G407" s="224"/>
      <c r="H407" s="260"/>
      <c r="I407" s="261"/>
      <c r="J407" s="193">
        <f t="shared" si="2"/>
        <v>0</v>
      </c>
    </row>
    <row r="408" spans="1:10" ht="15">
      <c r="A408" s="217"/>
      <c r="B408" s="218"/>
      <c r="C408" s="218"/>
      <c r="D408" s="218"/>
      <c r="E408" s="218"/>
      <c r="F408" s="260"/>
      <c r="G408" s="224"/>
      <c r="H408" s="260"/>
      <c r="I408" s="261"/>
      <c r="J408" s="193">
        <f t="shared" si="2"/>
        <v>0</v>
      </c>
    </row>
    <row r="409" spans="1:10" ht="15">
      <c r="A409" s="217"/>
      <c r="B409" s="218"/>
      <c r="C409" s="218"/>
      <c r="D409" s="218"/>
      <c r="E409" s="218"/>
      <c r="F409" s="260"/>
      <c r="G409" s="224"/>
      <c r="H409" s="260"/>
      <c r="I409" s="261"/>
      <c r="J409" s="193">
        <f t="shared" si="2"/>
        <v>0</v>
      </c>
    </row>
    <row r="410" spans="1:10" ht="15">
      <c r="A410" s="217"/>
      <c r="B410" s="218"/>
      <c r="C410" s="218"/>
      <c r="D410" s="218"/>
      <c r="E410" s="218"/>
      <c r="F410" s="260"/>
      <c r="G410" s="224"/>
      <c r="H410" s="260"/>
      <c r="I410" s="261"/>
      <c r="J410" s="193">
        <f t="shared" si="2"/>
        <v>0</v>
      </c>
    </row>
    <row r="411" spans="1:10" ht="15">
      <c r="A411" s="217"/>
      <c r="B411" s="218"/>
      <c r="C411" s="218"/>
      <c r="D411" s="218"/>
      <c r="E411" s="218"/>
      <c r="F411" s="260"/>
      <c r="G411" s="224"/>
      <c r="H411" s="260"/>
      <c r="I411" s="261"/>
      <c r="J411" s="193">
        <f t="shared" si="2"/>
        <v>0</v>
      </c>
    </row>
    <row r="412" spans="1:10" ht="15">
      <c r="A412" s="217"/>
      <c r="B412" s="218"/>
      <c r="C412" s="218"/>
      <c r="D412" s="218"/>
      <c r="E412" s="218"/>
      <c r="F412" s="260"/>
      <c r="G412" s="224"/>
      <c r="H412" s="260"/>
      <c r="I412" s="261"/>
      <c r="J412" s="193">
        <f t="shared" si="2"/>
        <v>0</v>
      </c>
    </row>
    <row r="413" spans="1:10" ht="15">
      <c r="A413" s="217"/>
      <c r="B413" s="218"/>
      <c r="C413" s="218"/>
      <c r="D413" s="218"/>
      <c r="E413" s="218"/>
      <c r="F413" s="260"/>
      <c r="G413" s="224"/>
      <c r="H413" s="260"/>
      <c r="I413" s="261"/>
      <c r="J413" s="193">
        <f t="shared" si="2"/>
        <v>0</v>
      </c>
    </row>
    <row r="414" spans="1:10" ht="15">
      <c r="A414" s="217"/>
      <c r="B414" s="218"/>
      <c r="C414" s="218"/>
      <c r="D414" s="218"/>
      <c r="E414" s="218"/>
      <c r="F414" s="260"/>
      <c r="G414" s="224"/>
      <c r="H414" s="260"/>
      <c r="I414" s="261"/>
      <c r="J414" s="193">
        <f t="shared" si="2"/>
        <v>0</v>
      </c>
    </row>
    <row r="415" spans="1:10" ht="15">
      <c r="A415" s="217"/>
      <c r="B415" s="218"/>
      <c r="C415" s="218"/>
      <c r="D415" s="218"/>
      <c r="E415" s="218"/>
      <c r="F415" s="260"/>
      <c r="G415" s="224"/>
      <c r="H415" s="260"/>
      <c r="I415" s="261"/>
      <c r="J415" s="193">
        <f t="shared" si="2"/>
        <v>0</v>
      </c>
    </row>
    <row r="416" spans="1:10" ht="15">
      <c r="A416" s="217"/>
      <c r="B416" s="218"/>
      <c r="C416" s="218"/>
      <c r="D416" s="218"/>
      <c r="E416" s="218"/>
      <c r="F416" s="260"/>
      <c r="G416" s="224"/>
      <c r="H416" s="260"/>
      <c r="I416" s="261"/>
      <c r="J416" s="193">
        <f t="shared" si="2"/>
        <v>0</v>
      </c>
    </row>
    <row r="417" spans="1:10" ht="15">
      <c r="A417" s="217"/>
      <c r="B417" s="218"/>
      <c r="C417" s="218"/>
      <c r="D417" s="218"/>
      <c r="E417" s="218"/>
      <c r="F417" s="260"/>
      <c r="G417" s="224"/>
      <c r="H417" s="260"/>
      <c r="I417" s="261"/>
      <c r="J417" s="193">
        <f t="shared" si="2"/>
        <v>0</v>
      </c>
    </row>
    <row r="418" spans="1:10" ht="15">
      <c r="A418" s="217"/>
      <c r="B418" s="218"/>
      <c r="C418" s="218"/>
      <c r="D418" s="218"/>
      <c r="E418" s="218"/>
      <c r="F418" s="260"/>
      <c r="G418" s="224"/>
      <c r="H418" s="260"/>
      <c r="I418" s="261"/>
      <c r="J418" s="193">
        <f t="shared" si="2"/>
        <v>0</v>
      </c>
    </row>
    <row r="419" spans="1:10" ht="15">
      <c r="A419" s="217"/>
      <c r="B419" s="218"/>
      <c r="C419" s="218"/>
      <c r="D419" s="218"/>
      <c r="E419" s="218"/>
      <c r="F419" s="260"/>
      <c r="G419" s="224"/>
      <c r="H419" s="260"/>
      <c r="I419" s="261"/>
      <c r="J419" s="193">
        <f t="shared" si="2"/>
        <v>0</v>
      </c>
    </row>
    <row r="420" spans="1:10" ht="15">
      <c r="A420" s="217"/>
      <c r="B420" s="218"/>
      <c r="C420" s="218"/>
      <c r="D420" s="218"/>
      <c r="E420" s="218"/>
      <c r="F420" s="260"/>
      <c r="G420" s="224"/>
      <c r="H420" s="260"/>
      <c r="I420" s="261"/>
      <c r="J420" s="193">
        <f t="shared" si="2"/>
        <v>0</v>
      </c>
    </row>
    <row r="421" spans="1:10" ht="15">
      <c r="A421" s="217"/>
      <c r="B421" s="218"/>
      <c r="C421" s="218"/>
      <c r="D421" s="218"/>
      <c r="E421" s="218"/>
      <c r="F421" s="260"/>
      <c r="G421" s="224"/>
      <c r="H421" s="260"/>
      <c r="I421" s="261"/>
      <c r="J421" s="193">
        <f t="shared" si="2"/>
        <v>0</v>
      </c>
    </row>
    <row r="422" spans="1:10" ht="15">
      <c r="A422" s="217"/>
      <c r="B422" s="218"/>
      <c r="C422" s="218"/>
      <c r="D422" s="218"/>
      <c r="E422" s="218"/>
      <c r="F422" s="260"/>
      <c r="G422" s="224"/>
      <c r="H422" s="260"/>
      <c r="I422" s="261"/>
      <c r="J422" s="193">
        <f t="shared" si="2"/>
        <v>0</v>
      </c>
    </row>
    <row r="423" spans="1:10" ht="15">
      <c r="A423" s="217"/>
      <c r="B423" s="218"/>
      <c r="C423" s="218"/>
      <c r="D423" s="218"/>
      <c r="E423" s="218"/>
      <c r="F423" s="260"/>
      <c r="G423" s="224"/>
      <c r="H423" s="260"/>
      <c r="I423" s="261"/>
      <c r="J423" s="193">
        <f t="shared" si="2"/>
        <v>0</v>
      </c>
    </row>
    <row r="424" spans="1:10" ht="15">
      <c r="A424" s="217"/>
      <c r="B424" s="218"/>
      <c r="C424" s="218"/>
      <c r="D424" s="218"/>
      <c r="E424" s="218"/>
      <c r="F424" s="260"/>
      <c r="G424" s="224"/>
      <c r="H424" s="260"/>
      <c r="I424" s="261"/>
      <c r="J424" s="193">
        <f t="shared" si="2"/>
        <v>0</v>
      </c>
    </row>
    <row r="425" spans="1:10" ht="15">
      <c r="A425" s="217"/>
      <c r="B425" s="218"/>
      <c r="C425" s="218"/>
      <c r="D425" s="218"/>
      <c r="E425" s="218"/>
      <c r="F425" s="260"/>
      <c r="G425" s="224"/>
      <c r="H425" s="260"/>
      <c r="I425" s="261"/>
      <c r="J425" s="193">
        <f t="shared" si="2"/>
        <v>0</v>
      </c>
    </row>
    <row r="426" spans="1:10" ht="15">
      <c r="A426" s="217"/>
      <c r="B426" s="218"/>
      <c r="C426" s="218"/>
      <c r="D426" s="218"/>
      <c r="E426" s="218"/>
      <c r="F426" s="260"/>
      <c r="G426" s="224"/>
      <c r="H426" s="260"/>
      <c r="I426" s="261"/>
      <c r="J426" s="193">
        <f t="shared" si="2"/>
        <v>0</v>
      </c>
    </row>
    <row r="427" spans="1:10" ht="15">
      <c r="A427" s="217"/>
      <c r="B427" s="218"/>
      <c r="C427" s="218"/>
      <c r="D427" s="218"/>
      <c r="E427" s="218"/>
      <c r="F427" s="260"/>
      <c r="G427" s="224"/>
      <c r="H427" s="260"/>
      <c r="I427" s="261"/>
      <c r="J427" s="193">
        <f t="shared" si="2"/>
        <v>0</v>
      </c>
    </row>
    <row r="428" spans="1:10" ht="15">
      <c r="A428" s="217"/>
      <c r="B428" s="218"/>
      <c r="C428" s="218"/>
      <c r="D428" s="218"/>
      <c r="E428" s="218"/>
      <c r="F428" s="260"/>
      <c r="G428" s="224"/>
      <c r="H428" s="260"/>
      <c r="I428" s="261"/>
      <c r="J428" s="193">
        <f t="shared" si="2"/>
        <v>0</v>
      </c>
    </row>
    <row r="429" spans="1:10" ht="15">
      <c r="A429" s="217"/>
      <c r="B429" s="218"/>
      <c r="C429" s="218"/>
      <c r="D429" s="218"/>
      <c r="E429" s="218"/>
      <c r="F429" s="260"/>
      <c r="G429" s="224"/>
      <c r="H429" s="260"/>
      <c r="I429" s="261"/>
      <c r="J429" s="193">
        <f t="shared" si="2"/>
        <v>0</v>
      </c>
    </row>
    <row r="430" spans="1:10" ht="15">
      <c r="A430" s="217"/>
      <c r="B430" s="218"/>
      <c r="C430" s="218"/>
      <c r="D430" s="218"/>
      <c r="E430" s="218"/>
      <c r="F430" s="260"/>
      <c r="G430" s="224"/>
      <c r="H430" s="260"/>
      <c r="I430" s="261"/>
      <c r="J430" s="193">
        <f t="shared" si="2"/>
        <v>0</v>
      </c>
    </row>
    <row r="431" spans="1:10" ht="15">
      <c r="A431" s="217"/>
      <c r="B431" s="218"/>
      <c r="C431" s="218"/>
      <c r="D431" s="218"/>
      <c r="E431" s="218"/>
      <c r="F431" s="260"/>
      <c r="G431" s="224"/>
      <c r="H431" s="260"/>
      <c r="I431" s="261"/>
      <c r="J431" s="193">
        <f t="shared" si="2"/>
        <v>0</v>
      </c>
    </row>
    <row r="432" spans="1:10" ht="15">
      <c r="A432" s="217"/>
      <c r="B432" s="218"/>
      <c r="C432" s="218"/>
      <c r="D432" s="218"/>
      <c r="E432" s="218"/>
      <c r="F432" s="260"/>
      <c r="G432" s="224"/>
      <c r="H432" s="260"/>
      <c r="I432" s="261"/>
      <c r="J432" s="193">
        <f t="shared" si="2"/>
        <v>0</v>
      </c>
    </row>
    <row r="433" spans="1:10" ht="15">
      <c r="A433" s="217"/>
      <c r="B433" s="218"/>
      <c r="C433" s="218"/>
      <c r="D433" s="218"/>
      <c r="E433" s="218"/>
      <c r="F433" s="260"/>
      <c r="G433" s="224"/>
      <c r="H433" s="260"/>
      <c r="I433" s="261"/>
      <c r="J433" s="193">
        <f t="shared" si="2"/>
        <v>0</v>
      </c>
    </row>
    <row r="434" spans="1:10" ht="15">
      <c r="A434" s="217"/>
      <c r="B434" s="218"/>
      <c r="C434" s="218"/>
      <c r="D434" s="218"/>
      <c r="E434" s="218"/>
      <c r="F434" s="260"/>
      <c r="G434" s="224"/>
      <c r="H434" s="260"/>
      <c r="I434" s="261"/>
      <c r="J434" s="193">
        <f t="shared" si="2"/>
        <v>0</v>
      </c>
    </row>
    <row r="435" spans="1:10" ht="15">
      <c r="A435" s="217"/>
      <c r="B435" s="218"/>
      <c r="C435" s="218"/>
      <c r="D435" s="218"/>
      <c r="E435" s="218"/>
      <c r="F435" s="260"/>
      <c r="G435" s="224"/>
      <c r="H435" s="260"/>
      <c r="I435" s="261"/>
      <c r="J435" s="193">
        <f t="shared" si="2"/>
        <v>0</v>
      </c>
    </row>
    <row r="436" spans="1:10" ht="15">
      <c r="A436" s="217"/>
      <c r="B436" s="218"/>
      <c r="C436" s="218"/>
      <c r="D436" s="218"/>
      <c r="E436" s="218"/>
      <c r="F436" s="260"/>
      <c r="G436" s="224"/>
      <c r="H436" s="260"/>
      <c r="I436" s="261"/>
      <c r="J436" s="193">
        <f t="shared" si="2"/>
        <v>0</v>
      </c>
    </row>
    <row r="437" spans="1:10" ht="15">
      <c r="A437" s="217"/>
      <c r="B437" s="218"/>
      <c r="C437" s="218"/>
      <c r="D437" s="218"/>
      <c r="E437" s="218"/>
      <c r="F437" s="260"/>
      <c r="G437" s="224"/>
      <c r="H437" s="260"/>
      <c r="I437" s="261"/>
      <c r="J437" s="193">
        <f t="shared" si="2"/>
        <v>0</v>
      </c>
    </row>
    <row r="438" spans="1:10" ht="15">
      <c r="A438" s="217"/>
      <c r="B438" s="218"/>
      <c r="C438" s="218"/>
      <c r="D438" s="218"/>
      <c r="E438" s="218"/>
      <c r="F438" s="260"/>
      <c r="G438" s="224"/>
      <c r="H438" s="260"/>
      <c r="I438" s="261"/>
      <c r="J438" s="193">
        <f t="shared" si="2"/>
        <v>0</v>
      </c>
    </row>
    <row r="439" spans="1:10" ht="15">
      <c r="A439" s="217"/>
      <c r="B439" s="218"/>
      <c r="C439" s="218"/>
      <c r="D439" s="218"/>
      <c r="E439" s="218"/>
      <c r="F439" s="260"/>
      <c r="G439" s="224"/>
      <c r="H439" s="260"/>
      <c r="I439" s="261"/>
      <c r="J439" s="193">
        <f t="shared" si="2"/>
        <v>0</v>
      </c>
    </row>
    <row r="440" spans="1:10" ht="15">
      <c r="A440" s="217"/>
      <c r="B440" s="218"/>
      <c r="C440" s="218"/>
      <c r="D440" s="218"/>
      <c r="E440" s="218"/>
      <c r="F440" s="260"/>
      <c r="G440" s="224"/>
      <c r="H440" s="260"/>
      <c r="I440" s="261"/>
      <c r="J440" s="193">
        <f t="shared" si="2"/>
        <v>0</v>
      </c>
    </row>
    <row r="441" spans="1:10" ht="15">
      <c r="A441" s="217"/>
      <c r="B441" s="218"/>
      <c r="C441" s="218"/>
      <c r="D441" s="218"/>
      <c r="E441" s="218"/>
      <c r="F441" s="260"/>
      <c r="G441" s="224"/>
      <c r="H441" s="260"/>
      <c r="I441" s="261"/>
      <c r="J441" s="193">
        <f t="shared" si="2"/>
        <v>0</v>
      </c>
    </row>
    <row r="442" spans="1:10" ht="15">
      <c r="A442" s="217"/>
      <c r="B442" s="218"/>
      <c r="C442" s="218"/>
      <c r="D442" s="218"/>
      <c r="E442" s="218"/>
      <c r="F442" s="260"/>
      <c r="G442" s="224"/>
      <c r="H442" s="260"/>
      <c r="I442" s="261"/>
      <c r="J442" s="193">
        <f t="shared" si="2"/>
        <v>0</v>
      </c>
    </row>
    <row r="443" spans="1:10" ht="15">
      <c r="A443" s="217"/>
      <c r="B443" s="218"/>
      <c r="C443" s="218"/>
      <c r="D443" s="218"/>
      <c r="E443" s="218"/>
      <c r="F443" s="260"/>
      <c r="G443" s="224"/>
      <c r="H443" s="260"/>
      <c r="I443" s="261"/>
      <c r="J443" s="193">
        <f t="shared" si="2"/>
        <v>0</v>
      </c>
    </row>
    <row r="444" spans="1:10" ht="15">
      <c r="A444" s="217"/>
      <c r="B444" s="218"/>
      <c r="C444" s="218"/>
      <c r="D444" s="218"/>
      <c r="E444" s="218"/>
      <c r="F444" s="260"/>
      <c r="G444" s="224"/>
      <c r="H444" s="260"/>
      <c r="I444" s="261"/>
      <c r="J444" s="193">
        <f t="shared" si="2"/>
        <v>0</v>
      </c>
    </row>
    <row r="445" spans="1:10" ht="15">
      <c r="A445" s="217"/>
      <c r="B445" s="218"/>
      <c r="C445" s="218"/>
      <c r="D445" s="218"/>
      <c r="E445" s="218"/>
      <c r="F445" s="260"/>
      <c r="G445" s="224"/>
      <c r="H445" s="260"/>
      <c r="I445" s="261"/>
      <c r="J445" s="193">
        <f t="shared" si="2"/>
        <v>0</v>
      </c>
    </row>
    <row r="446" spans="1:10" ht="15">
      <c r="A446" s="217"/>
      <c r="B446" s="218"/>
      <c r="C446" s="218"/>
      <c r="D446" s="218"/>
      <c r="E446" s="218"/>
      <c r="F446" s="260"/>
      <c r="G446" s="224"/>
      <c r="H446" s="260"/>
      <c r="I446" s="261"/>
      <c r="J446" s="193">
        <f t="shared" si="2"/>
        <v>0</v>
      </c>
    </row>
    <row r="447" spans="1:10" ht="15">
      <c r="A447" s="217"/>
      <c r="B447" s="218"/>
      <c r="C447" s="218"/>
      <c r="D447" s="218"/>
      <c r="E447" s="218"/>
      <c r="F447" s="260"/>
      <c r="G447" s="224"/>
      <c r="H447" s="260"/>
      <c r="I447" s="261"/>
      <c r="J447" s="193">
        <f t="shared" si="2"/>
        <v>0</v>
      </c>
    </row>
    <row r="448" spans="1:10" ht="15">
      <c r="A448" s="217"/>
      <c r="B448" s="218"/>
      <c r="C448" s="218"/>
      <c r="D448" s="218"/>
      <c r="E448" s="218"/>
      <c r="F448" s="260"/>
      <c r="G448" s="224"/>
      <c r="H448" s="260"/>
      <c r="I448" s="261"/>
      <c r="J448" s="193">
        <f t="shared" si="2"/>
        <v>0</v>
      </c>
    </row>
    <row r="449" spans="1:10" ht="15">
      <c r="A449" s="217"/>
      <c r="B449" s="218"/>
      <c r="C449" s="218"/>
      <c r="D449" s="218"/>
      <c r="E449" s="218"/>
      <c r="F449" s="260"/>
      <c r="G449" s="224"/>
      <c r="H449" s="260"/>
      <c r="I449" s="261"/>
      <c r="J449" s="193">
        <f t="shared" si="2"/>
        <v>0</v>
      </c>
    </row>
    <row r="450" spans="1:10" ht="15">
      <c r="A450" s="217"/>
      <c r="B450" s="218"/>
      <c r="C450" s="218"/>
      <c r="D450" s="218"/>
      <c r="E450" s="218"/>
      <c r="F450" s="260"/>
      <c r="G450" s="224"/>
      <c r="H450" s="260"/>
      <c r="I450" s="261"/>
      <c r="J450" s="193">
        <f t="shared" si="2"/>
        <v>0</v>
      </c>
    </row>
    <row r="451" spans="1:10" ht="15">
      <c r="A451" s="217"/>
      <c r="B451" s="218"/>
      <c r="C451" s="218"/>
      <c r="D451" s="218"/>
      <c r="E451" s="218"/>
      <c r="F451" s="260"/>
      <c r="G451" s="224"/>
      <c r="H451" s="260"/>
      <c r="I451" s="261"/>
      <c r="J451" s="193">
        <f t="shared" si="2"/>
        <v>0</v>
      </c>
    </row>
    <row r="452" spans="1:10" ht="15">
      <c r="A452" s="217"/>
      <c r="B452" s="218"/>
      <c r="C452" s="218"/>
      <c r="D452" s="218"/>
      <c r="E452" s="218"/>
      <c r="F452" s="260"/>
      <c r="G452" s="224"/>
      <c r="H452" s="260"/>
      <c r="I452" s="261"/>
      <c r="J452" s="193">
        <f t="shared" si="2"/>
        <v>0</v>
      </c>
    </row>
    <row r="453" spans="1:10" ht="15">
      <c r="A453" s="217"/>
      <c r="B453" s="218"/>
      <c r="C453" s="218"/>
      <c r="D453" s="218"/>
      <c r="E453" s="218"/>
      <c r="F453" s="260"/>
      <c r="G453" s="224"/>
      <c r="H453" s="260"/>
      <c r="I453" s="261"/>
      <c r="J453" s="193">
        <f t="shared" si="2"/>
        <v>0</v>
      </c>
    </row>
    <row r="454" spans="1:10" ht="15">
      <c r="A454" s="217"/>
      <c r="B454" s="218"/>
      <c r="C454" s="218"/>
      <c r="D454" s="218"/>
      <c r="E454" s="218"/>
      <c r="F454" s="260"/>
      <c r="G454" s="224"/>
      <c r="H454" s="260"/>
      <c r="I454" s="261"/>
      <c r="J454" s="193">
        <f t="shared" si="2"/>
        <v>0</v>
      </c>
    </row>
    <row r="455" spans="1:10" ht="15">
      <c r="A455" s="217"/>
      <c r="B455" s="218"/>
      <c r="C455" s="218"/>
      <c r="D455" s="218"/>
      <c r="E455" s="218"/>
      <c r="F455" s="260"/>
      <c r="G455" s="224"/>
      <c r="H455" s="260"/>
      <c r="I455" s="261"/>
      <c r="J455" s="193">
        <f t="shared" si="2"/>
        <v>0</v>
      </c>
    </row>
    <row r="456" spans="1:10" ht="15">
      <c r="A456" s="217"/>
      <c r="B456" s="218"/>
      <c r="C456" s="218"/>
      <c r="D456" s="218"/>
      <c r="E456" s="218"/>
      <c r="F456" s="260"/>
      <c r="G456" s="224"/>
      <c r="H456" s="260"/>
      <c r="I456" s="261"/>
      <c r="J456" s="193">
        <f t="shared" si="2"/>
        <v>0</v>
      </c>
    </row>
    <row r="457" spans="1:10" ht="15">
      <c r="A457" s="217"/>
      <c r="B457" s="218"/>
      <c r="C457" s="218"/>
      <c r="D457" s="218"/>
      <c r="E457" s="218"/>
      <c r="F457" s="260"/>
      <c r="G457" s="224"/>
      <c r="H457" s="260"/>
      <c r="I457" s="261"/>
      <c r="J457" s="261"/>
    </row>
    <row r="458" spans="1:10" ht="15">
      <c r="A458" s="217"/>
      <c r="B458" s="218"/>
      <c r="C458" s="218"/>
      <c r="D458" s="218"/>
      <c r="E458" s="218"/>
      <c r="F458" s="260"/>
      <c r="G458" s="224"/>
      <c r="H458" s="260"/>
      <c r="I458" s="261"/>
      <c r="J458" s="261"/>
    </row>
    <row r="459" spans="1:10" ht="15">
      <c r="A459" s="217"/>
      <c r="B459" s="218"/>
      <c r="C459" s="218"/>
      <c r="D459" s="218"/>
      <c r="E459" s="218"/>
      <c r="F459" s="260"/>
      <c r="G459" s="224"/>
      <c r="H459" s="260"/>
      <c r="I459" s="261"/>
      <c r="J459" s="261"/>
    </row>
    <row r="460" spans="1:10" ht="15">
      <c r="A460" s="217"/>
      <c r="B460" s="218"/>
      <c r="C460" s="218"/>
      <c r="D460" s="218"/>
      <c r="E460" s="218"/>
      <c r="F460" s="260"/>
      <c r="G460" s="224"/>
      <c r="H460" s="260"/>
      <c r="I460" s="261"/>
      <c r="J460" s="261"/>
    </row>
    <row r="461" spans="1:10" ht="15">
      <c r="A461" s="217"/>
      <c r="B461" s="218"/>
      <c r="C461" s="218"/>
      <c r="D461" s="218"/>
      <c r="E461" s="218"/>
      <c r="F461" s="260"/>
      <c r="G461" s="224"/>
      <c r="H461" s="260"/>
      <c r="I461" s="261"/>
      <c r="J461" s="261"/>
    </row>
    <row r="462" spans="1:10" ht="15">
      <c r="A462" s="217"/>
      <c r="B462" s="218"/>
      <c r="C462" s="218"/>
      <c r="D462" s="218"/>
      <c r="E462" s="218"/>
      <c r="F462" s="260"/>
      <c r="G462" s="224"/>
      <c r="H462" s="260"/>
      <c r="I462" s="261"/>
      <c r="J462" s="261"/>
    </row>
    <row r="463" spans="1:10" ht="15">
      <c r="A463" s="217"/>
      <c r="B463" s="218"/>
      <c r="C463" s="218"/>
      <c r="D463" s="218"/>
      <c r="E463" s="218"/>
      <c r="F463" s="260"/>
      <c r="G463" s="224"/>
      <c r="H463" s="260"/>
      <c r="I463" s="261"/>
      <c r="J463" s="261"/>
    </row>
    <row r="464" spans="1:10" ht="15">
      <c r="A464" s="217"/>
      <c r="B464" s="218"/>
      <c r="C464" s="218"/>
      <c r="D464" s="218"/>
      <c r="E464" s="218"/>
      <c r="F464" s="260"/>
      <c r="G464" s="224"/>
      <c r="H464" s="260"/>
      <c r="I464" s="261"/>
      <c r="J464" s="261"/>
    </row>
    <row r="465" spans="1:10" ht="15">
      <c r="A465" s="217"/>
      <c r="B465" s="218"/>
      <c r="C465" s="218"/>
      <c r="D465" s="218"/>
      <c r="E465" s="218"/>
      <c r="F465" s="260"/>
      <c r="G465" s="224"/>
      <c r="H465" s="260"/>
      <c r="I465" s="261"/>
      <c r="J465" s="261"/>
    </row>
    <row r="466" spans="1:10" ht="15">
      <c r="A466" s="217"/>
      <c r="B466" s="218"/>
      <c r="C466" s="218"/>
      <c r="D466" s="218"/>
      <c r="E466" s="218"/>
      <c r="F466" s="260"/>
      <c r="G466" s="224"/>
      <c r="H466" s="260"/>
      <c r="I466" s="261"/>
      <c r="J466" s="261"/>
    </row>
    <row r="467" spans="1:10" ht="15">
      <c r="A467" s="217"/>
      <c r="B467" s="218"/>
      <c r="C467" s="218"/>
      <c r="D467" s="218"/>
      <c r="E467" s="218"/>
      <c r="F467" s="260"/>
      <c r="G467" s="224"/>
      <c r="H467" s="260"/>
      <c r="I467" s="261"/>
      <c r="J467" s="261"/>
    </row>
    <row r="468" spans="1:10" ht="15">
      <c r="A468" s="217"/>
      <c r="B468" s="218"/>
      <c r="C468" s="218"/>
      <c r="D468" s="218"/>
      <c r="E468" s="218"/>
      <c r="F468" s="260"/>
      <c r="G468" s="224"/>
      <c r="H468" s="260"/>
      <c r="I468" s="261"/>
      <c r="J468" s="261"/>
    </row>
    <row r="469" spans="1:10" ht="15">
      <c r="A469" s="217"/>
      <c r="B469" s="218"/>
      <c r="C469" s="218"/>
      <c r="D469" s="218"/>
      <c r="E469" s="218"/>
      <c r="F469" s="260"/>
      <c r="G469" s="224"/>
      <c r="H469" s="260"/>
      <c r="I469" s="261"/>
      <c r="J469" s="261"/>
    </row>
    <row r="470" spans="1:10" ht="15">
      <c r="A470" s="217"/>
      <c r="B470" s="218"/>
      <c r="C470" s="218"/>
      <c r="D470" s="218"/>
      <c r="E470" s="218"/>
      <c r="F470" s="260"/>
      <c r="G470" s="224"/>
      <c r="H470" s="260"/>
      <c r="I470" s="261"/>
      <c r="J470" s="261"/>
    </row>
    <row r="471" spans="1:10" ht="15">
      <c r="A471" s="217"/>
      <c r="B471" s="218"/>
      <c r="C471" s="218"/>
      <c r="D471" s="218"/>
      <c r="E471" s="218"/>
      <c r="F471" s="260"/>
      <c r="G471" s="224"/>
      <c r="H471" s="260"/>
      <c r="I471" s="261"/>
      <c r="J471" s="261"/>
    </row>
    <row r="472" spans="1:10" ht="15">
      <c r="A472" s="217"/>
      <c r="B472" s="218"/>
      <c r="C472" s="218"/>
      <c r="D472" s="218"/>
      <c r="E472" s="218"/>
      <c r="F472" s="260"/>
      <c r="G472" s="224"/>
      <c r="H472" s="260"/>
      <c r="I472" s="261"/>
      <c r="J472" s="261"/>
    </row>
    <row r="473" spans="1:10" ht="15">
      <c r="A473" s="217"/>
      <c r="B473" s="218"/>
      <c r="C473" s="218"/>
      <c r="D473" s="218"/>
      <c r="E473" s="218"/>
      <c r="F473" s="260"/>
      <c r="G473" s="224"/>
      <c r="H473" s="260"/>
      <c r="I473" s="261"/>
      <c r="J473" s="261"/>
    </row>
    <row r="474" spans="1:10" ht="15">
      <c r="A474" s="217"/>
      <c r="B474" s="218"/>
      <c r="C474" s="218"/>
      <c r="D474" s="218"/>
      <c r="E474" s="218"/>
      <c r="F474" s="260"/>
      <c r="G474" s="224"/>
      <c r="H474" s="260"/>
      <c r="I474" s="261"/>
      <c r="J474" s="261"/>
    </row>
    <row r="475" spans="1:10" ht="15">
      <c r="A475" s="217"/>
      <c r="B475" s="218"/>
      <c r="C475" s="218"/>
      <c r="D475" s="218"/>
      <c r="E475" s="218"/>
      <c r="F475" s="260"/>
      <c r="G475" s="224"/>
      <c r="H475" s="260"/>
      <c r="I475" s="261"/>
      <c r="J475" s="261"/>
    </row>
    <row r="476" spans="1:10" ht="15">
      <c r="A476" s="217"/>
      <c r="B476" s="218"/>
      <c r="C476" s="218"/>
      <c r="D476" s="218"/>
      <c r="E476" s="218"/>
      <c r="F476" s="260"/>
      <c r="G476" s="224"/>
      <c r="H476" s="260"/>
      <c r="I476" s="261"/>
      <c r="J476" s="261"/>
    </row>
    <row r="477" spans="1:10" ht="15">
      <c r="A477" s="217"/>
      <c r="B477" s="218"/>
      <c r="C477" s="218"/>
      <c r="D477" s="218"/>
      <c r="E477" s="218"/>
      <c r="F477" s="260"/>
      <c r="G477" s="224"/>
      <c r="H477" s="260"/>
      <c r="I477" s="261"/>
      <c r="J477" s="261"/>
    </row>
    <row r="478" spans="1:10" ht="15">
      <c r="A478" s="217"/>
      <c r="B478" s="218"/>
      <c r="C478" s="218"/>
      <c r="D478" s="218"/>
      <c r="E478" s="218"/>
      <c r="F478" s="260"/>
      <c r="G478" s="224"/>
      <c r="H478" s="260"/>
      <c r="I478" s="261"/>
      <c r="J478" s="261"/>
    </row>
    <row r="479" spans="1:10" ht="15">
      <c r="A479" s="217"/>
      <c r="B479" s="218"/>
      <c r="C479" s="218"/>
      <c r="D479" s="218"/>
      <c r="E479" s="218"/>
      <c r="F479" s="260"/>
      <c r="G479" s="224"/>
      <c r="H479" s="260"/>
      <c r="I479" s="261"/>
      <c r="J479" s="261"/>
    </row>
    <row r="480" spans="1:10" ht="15">
      <c r="A480" s="217"/>
      <c r="B480" s="218"/>
      <c r="C480" s="218"/>
      <c r="D480" s="218"/>
      <c r="E480" s="218"/>
      <c r="F480" s="260"/>
      <c r="G480" s="224"/>
      <c r="H480" s="260"/>
      <c r="I480" s="261"/>
      <c r="J480" s="261"/>
    </row>
    <row r="481" spans="1:10" ht="15">
      <c r="A481" s="217"/>
      <c r="B481" s="218"/>
      <c r="C481" s="218"/>
      <c r="D481" s="218"/>
      <c r="E481" s="218"/>
      <c r="F481" s="260"/>
      <c r="G481" s="224"/>
      <c r="H481" s="260"/>
      <c r="I481" s="261"/>
      <c r="J481" s="261"/>
    </row>
    <row r="482" spans="1:10" ht="15">
      <c r="A482" s="217"/>
      <c r="B482" s="218"/>
      <c r="C482" s="218"/>
      <c r="D482" s="218"/>
      <c r="E482" s="218"/>
      <c r="F482" s="260"/>
      <c r="G482" s="224"/>
      <c r="H482" s="260"/>
      <c r="I482" s="261"/>
      <c r="J482" s="261"/>
    </row>
    <row r="483" spans="1:10" ht="15">
      <c r="A483" s="217"/>
      <c r="B483" s="218"/>
      <c r="C483" s="218"/>
      <c r="D483" s="218"/>
      <c r="E483" s="218"/>
      <c r="F483" s="260"/>
      <c r="G483" s="224"/>
      <c r="H483" s="260"/>
      <c r="I483" s="261"/>
      <c r="J483" s="261"/>
    </row>
    <row r="484" spans="1:10" ht="15">
      <c r="A484" s="217"/>
      <c r="B484" s="218"/>
      <c r="C484" s="218"/>
      <c r="D484" s="218"/>
      <c r="E484" s="218"/>
      <c r="F484" s="260"/>
      <c r="G484" s="224"/>
      <c r="H484" s="260"/>
      <c r="I484" s="261"/>
      <c r="J484" s="261"/>
    </row>
    <row r="485" spans="1:10" ht="15">
      <c r="A485" s="217"/>
      <c r="B485" s="218"/>
      <c r="C485" s="218"/>
      <c r="D485" s="218"/>
      <c r="E485" s="218"/>
      <c r="F485" s="260"/>
      <c r="G485" s="224"/>
      <c r="H485" s="260"/>
      <c r="I485" s="261"/>
      <c r="J485" s="261"/>
    </row>
    <row r="486" spans="1:10" ht="15">
      <c r="A486" s="217"/>
      <c r="B486" s="218"/>
      <c r="C486" s="218"/>
      <c r="D486" s="218"/>
      <c r="E486" s="218"/>
      <c r="F486" s="260"/>
      <c r="G486" s="224"/>
      <c r="H486" s="260"/>
      <c r="I486" s="261"/>
      <c r="J486" s="261"/>
    </row>
    <row r="487" spans="1:10" ht="15">
      <c r="A487" s="217"/>
      <c r="B487" s="218"/>
      <c r="C487" s="218"/>
      <c r="D487" s="218"/>
      <c r="E487" s="218"/>
      <c r="F487" s="260"/>
      <c r="G487" s="224"/>
      <c r="H487" s="260"/>
      <c r="I487" s="261"/>
      <c r="J487" s="261"/>
    </row>
    <row r="488" spans="1:10" ht="15">
      <c r="A488" s="217"/>
      <c r="B488" s="218"/>
      <c r="C488" s="218"/>
      <c r="D488" s="218"/>
      <c r="E488" s="218"/>
      <c r="F488" s="260"/>
      <c r="G488" s="224"/>
      <c r="H488" s="260"/>
      <c r="I488" s="261"/>
      <c r="J488" s="261"/>
    </row>
    <row r="489" spans="1:10" ht="15">
      <c r="A489" s="217"/>
      <c r="B489" s="218"/>
      <c r="C489" s="218"/>
      <c r="D489" s="218"/>
      <c r="E489" s="218"/>
      <c r="F489" s="260"/>
      <c r="G489" s="224"/>
      <c r="H489" s="260"/>
      <c r="I489" s="261"/>
      <c r="J489" s="261"/>
    </row>
    <row r="490" spans="1:10" ht="15">
      <c r="A490" s="217"/>
      <c r="B490" s="218"/>
      <c r="C490" s="218"/>
      <c r="D490" s="218"/>
      <c r="E490" s="218"/>
      <c r="F490" s="260"/>
      <c r="G490" s="224"/>
      <c r="H490" s="260"/>
      <c r="I490" s="261"/>
      <c r="J490" s="261"/>
    </row>
    <row r="491" spans="1:10" ht="15">
      <c r="A491" s="217"/>
      <c r="B491" s="218"/>
      <c r="C491" s="218"/>
      <c r="D491" s="218"/>
      <c r="E491" s="218"/>
      <c r="F491" s="260"/>
      <c r="G491" s="224"/>
      <c r="H491" s="260"/>
      <c r="I491" s="261"/>
      <c r="J491" s="261"/>
    </row>
    <row r="492" spans="1:10" ht="15">
      <c r="A492" s="217"/>
      <c r="B492" s="218"/>
      <c r="C492" s="218"/>
      <c r="D492" s="218"/>
      <c r="E492" s="218"/>
      <c r="F492" s="260"/>
      <c r="G492" s="224"/>
      <c r="H492" s="260"/>
      <c r="I492" s="261"/>
      <c r="J492" s="261"/>
    </row>
    <row r="493" spans="1:10" ht="15">
      <c r="A493" s="217"/>
      <c r="B493" s="218"/>
      <c r="C493" s="218"/>
      <c r="D493" s="218"/>
      <c r="E493" s="218"/>
      <c r="F493" s="260"/>
      <c r="G493" s="224"/>
      <c r="H493" s="260"/>
      <c r="I493" s="261"/>
      <c r="J493" s="261"/>
    </row>
    <row r="494" spans="1:10" ht="15">
      <c r="A494" s="217"/>
      <c r="B494" s="218"/>
      <c r="C494" s="218"/>
      <c r="D494" s="218"/>
      <c r="E494" s="218"/>
      <c r="F494" s="260"/>
      <c r="G494" s="224"/>
      <c r="H494" s="260"/>
      <c r="I494" s="261"/>
      <c r="J494" s="261"/>
    </row>
    <row r="495" spans="1:10" ht="15">
      <c r="A495" s="217"/>
      <c r="B495" s="218"/>
      <c r="C495" s="218"/>
      <c r="D495" s="218"/>
      <c r="E495" s="218"/>
      <c r="F495" s="260"/>
      <c r="G495" s="224"/>
      <c r="H495" s="260"/>
      <c r="I495" s="261"/>
      <c r="J495" s="261"/>
    </row>
    <row r="496" spans="1:10" ht="15">
      <c r="A496" s="217"/>
      <c r="B496" s="218"/>
      <c r="C496" s="218"/>
      <c r="D496" s="218"/>
      <c r="E496" s="218"/>
      <c r="F496" s="260"/>
      <c r="G496" s="224"/>
      <c r="H496" s="260"/>
      <c r="I496" s="261"/>
      <c r="J496" s="261"/>
    </row>
    <row r="497" spans="1:10" ht="15">
      <c r="A497" s="217"/>
      <c r="B497" s="218"/>
      <c r="C497" s="218"/>
      <c r="D497" s="218"/>
      <c r="E497" s="218"/>
      <c r="F497" s="260"/>
      <c r="G497" s="224"/>
      <c r="H497" s="260"/>
      <c r="I497" s="261"/>
      <c r="J497" s="261"/>
    </row>
    <row r="498" spans="1:10" ht="15">
      <c r="A498" s="217"/>
      <c r="B498" s="218"/>
      <c r="C498" s="218"/>
      <c r="D498" s="218"/>
      <c r="E498" s="218"/>
      <c r="F498" s="260"/>
      <c r="G498" s="224"/>
      <c r="H498" s="260"/>
      <c r="I498" s="261"/>
      <c r="J498" s="261"/>
    </row>
    <row r="499" spans="1:10" ht="15">
      <c r="A499" s="217"/>
      <c r="B499" s="218"/>
      <c r="C499" s="218"/>
      <c r="D499" s="218"/>
      <c r="E499" s="218"/>
      <c r="F499" s="260"/>
      <c r="G499" s="224"/>
      <c r="H499" s="260"/>
      <c r="I499" s="261"/>
      <c r="J499" s="261"/>
    </row>
    <row r="500" spans="1:10" ht="15">
      <c r="A500" s="217"/>
      <c r="B500" s="218"/>
      <c r="C500" s="218"/>
      <c r="D500" s="218"/>
      <c r="E500" s="218"/>
      <c r="F500" s="260"/>
      <c r="G500" s="224"/>
      <c r="H500" s="260"/>
      <c r="I500" s="261"/>
      <c r="J500" s="261"/>
    </row>
    <row r="501" spans="1:10" ht="15">
      <c r="A501" s="217"/>
      <c r="B501" s="218"/>
      <c r="C501" s="218"/>
      <c r="D501" s="218"/>
      <c r="E501" s="218"/>
      <c r="F501" s="260"/>
      <c r="G501" s="224"/>
      <c r="H501" s="260"/>
      <c r="I501" s="261"/>
      <c r="J501" s="261"/>
    </row>
    <row r="502" spans="1:10" ht="15">
      <c r="A502" s="217"/>
      <c r="B502" s="218"/>
      <c r="C502" s="218"/>
      <c r="D502" s="218"/>
      <c r="E502" s="218"/>
      <c r="F502" s="260"/>
      <c r="G502" s="224"/>
      <c r="H502" s="260"/>
      <c r="I502" s="261"/>
      <c r="J502" s="261"/>
    </row>
    <row r="503" spans="1:10" ht="15">
      <c r="A503" s="217"/>
      <c r="B503" s="218"/>
      <c r="C503" s="218"/>
      <c r="D503" s="218"/>
      <c r="E503" s="218"/>
      <c r="F503" s="260"/>
      <c r="G503" s="224"/>
      <c r="H503" s="260"/>
      <c r="I503" s="261"/>
      <c r="J503" s="261"/>
    </row>
    <row r="504" spans="1:10" ht="15">
      <c r="A504" s="217"/>
      <c r="B504" s="218"/>
      <c r="C504" s="218"/>
      <c r="D504" s="218"/>
      <c r="E504" s="218"/>
      <c r="F504" s="260"/>
      <c r="G504" s="224"/>
      <c r="H504" s="260"/>
      <c r="I504" s="261"/>
      <c r="J504" s="261"/>
    </row>
    <row r="505" spans="1:10" ht="15">
      <c r="A505" s="217"/>
      <c r="B505" s="218"/>
      <c r="C505" s="218"/>
      <c r="D505" s="218"/>
      <c r="E505" s="218"/>
      <c r="F505" s="260"/>
      <c r="G505" s="224"/>
      <c r="H505" s="260"/>
      <c r="I505" s="261"/>
      <c r="J505" s="261"/>
    </row>
    <row r="506" spans="1:10" ht="15">
      <c r="A506" s="217"/>
      <c r="B506" s="218"/>
      <c r="C506" s="218"/>
      <c r="D506" s="218"/>
      <c r="E506" s="218"/>
      <c r="F506" s="260"/>
      <c r="G506" s="224"/>
      <c r="H506" s="260"/>
      <c r="I506" s="261"/>
      <c r="J506" s="261"/>
    </row>
    <row r="507" spans="1:10" ht="15">
      <c r="A507" s="217"/>
      <c r="B507" s="218"/>
      <c r="C507" s="218"/>
      <c r="D507" s="218"/>
      <c r="E507" s="218"/>
      <c r="F507" s="260"/>
      <c r="G507" s="224"/>
      <c r="H507" s="260"/>
      <c r="I507" s="261"/>
      <c r="J507" s="261"/>
    </row>
    <row r="508" spans="1:10" ht="15">
      <c r="A508" s="217"/>
      <c r="B508" s="218"/>
      <c r="C508" s="218"/>
      <c r="D508" s="218"/>
      <c r="E508" s="218"/>
      <c r="F508" s="260"/>
      <c r="G508" s="224"/>
      <c r="H508" s="260"/>
      <c r="I508" s="261"/>
      <c r="J508" s="261"/>
    </row>
    <row r="509" spans="1:10" ht="15">
      <c r="A509" s="217"/>
      <c r="B509" s="218"/>
      <c r="C509" s="218"/>
      <c r="D509" s="218"/>
      <c r="E509" s="218"/>
      <c r="F509" s="260"/>
      <c r="G509" s="224"/>
      <c r="H509" s="260"/>
      <c r="I509" s="261"/>
      <c r="J509" s="261"/>
    </row>
    <row r="510" spans="1:10" ht="15">
      <c r="A510" s="217"/>
      <c r="B510" s="218"/>
      <c r="C510" s="218"/>
      <c r="D510" s="218"/>
      <c r="E510" s="218"/>
      <c r="F510" s="260"/>
      <c r="G510" s="224"/>
      <c r="H510" s="260"/>
      <c r="I510" s="261"/>
      <c r="J510" s="261"/>
    </row>
    <row r="511" spans="1:10" ht="15">
      <c r="A511" s="217"/>
      <c r="B511" s="218"/>
      <c r="C511" s="218"/>
      <c r="D511" s="218"/>
      <c r="E511" s="218"/>
      <c r="F511" s="260"/>
      <c r="G511" s="224"/>
      <c r="H511" s="260"/>
      <c r="I511" s="261"/>
      <c r="J511" s="261"/>
    </row>
    <row r="512" spans="1:10" ht="15">
      <c r="A512" s="217"/>
      <c r="B512" s="218"/>
      <c r="C512" s="218"/>
      <c r="D512" s="218"/>
      <c r="E512" s="218"/>
      <c r="F512" s="260"/>
      <c r="G512" s="224"/>
      <c r="H512" s="260"/>
      <c r="I512" s="261"/>
      <c r="J512" s="261"/>
    </row>
    <row r="513" spans="1:10" ht="15">
      <c r="A513" s="217"/>
      <c r="B513" s="218"/>
      <c r="C513" s="218"/>
      <c r="D513" s="218"/>
      <c r="E513" s="218"/>
      <c r="F513" s="260"/>
      <c r="G513" s="224"/>
      <c r="H513" s="260"/>
      <c r="I513" s="261"/>
      <c r="J513" s="261"/>
    </row>
    <row r="514" spans="1:10" ht="15">
      <c r="A514" s="217"/>
      <c r="B514" s="218"/>
      <c r="C514" s="218"/>
      <c r="D514" s="218"/>
      <c r="E514" s="218"/>
      <c r="F514" s="260"/>
      <c r="G514" s="224"/>
      <c r="H514" s="260"/>
      <c r="I514" s="261"/>
      <c r="J514" s="261"/>
    </row>
    <row r="515" spans="1:10" ht="15">
      <c r="A515" s="217"/>
      <c r="B515" s="218"/>
      <c r="C515" s="218"/>
      <c r="D515" s="218"/>
      <c r="E515" s="218"/>
      <c r="F515" s="260"/>
      <c r="G515" s="224"/>
      <c r="H515" s="260"/>
      <c r="I515" s="261"/>
      <c r="J515" s="261"/>
    </row>
    <row r="516" spans="1:10" ht="15">
      <c r="A516" s="217"/>
      <c r="B516" s="218"/>
      <c r="C516" s="218"/>
      <c r="D516" s="218"/>
      <c r="E516" s="218"/>
      <c r="F516" s="260"/>
      <c r="G516" s="224"/>
      <c r="H516" s="260"/>
      <c r="I516" s="261"/>
      <c r="J516" s="261"/>
    </row>
    <row r="517" spans="1:10" ht="15">
      <c r="A517" s="217"/>
      <c r="B517" s="218"/>
      <c r="C517" s="218"/>
      <c r="D517" s="218"/>
      <c r="E517" s="218"/>
      <c r="F517" s="260"/>
      <c r="G517" s="224"/>
      <c r="H517" s="260"/>
      <c r="I517" s="261"/>
      <c r="J517" s="261"/>
    </row>
    <row r="518" spans="1:10" ht="15">
      <c r="A518" s="217"/>
      <c r="B518" s="218"/>
      <c r="C518" s="218"/>
      <c r="D518" s="218"/>
      <c r="E518" s="218"/>
      <c r="F518" s="260"/>
      <c r="G518" s="224"/>
      <c r="H518" s="260"/>
      <c r="I518" s="261"/>
      <c r="J518" s="261"/>
    </row>
    <row r="519" spans="1:10" ht="15">
      <c r="A519" s="217"/>
      <c r="B519" s="218"/>
      <c r="C519" s="218"/>
      <c r="D519" s="218"/>
      <c r="E519" s="218"/>
      <c r="F519" s="260"/>
      <c r="G519" s="224"/>
      <c r="H519" s="260"/>
      <c r="I519" s="261"/>
      <c r="J519" s="261"/>
    </row>
    <row r="520" spans="1:10" ht="15">
      <c r="A520" s="217"/>
      <c r="B520" s="218"/>
      <c r="C520" s="218"/>
      <c r="D520" s="218"/>
      <c r="E520" s="218"/>
      <c r="F520" s="260"/>
      <c r="G520" s="224"/>
      <c r="H520" s="260"/>
      <c r="I520" s="261"/>
      <c r="J520" s="261"/>
    </row>
    <row r="521" spans="1:10" ht="15">
      <c r="A521" s="217"/>
      <c r="B521" s="218"/>
      <c r="C521" s="218"/>
      <c r="D521" s="218"/>
      <c r="E521" s="218"/>
      <c r="F521" s="260"/>
      <c r="G521" s="224"/>
      <c r="H521" s="260"/>
      <c r="I521" s="261"/>
      <c r="J521" s="261"/>
    </row>
    <row r="522" spans="1:10" ht="15">
      <c r="A522" s="217"/>
      <c r="B522" s="218"/>
      <c r="C522" s="218"/>
      <c r="D522" s="218"/>
      <c r="E522" s="218"/>
      <c r="F522" s="260"/>
      <c r="G522" s="224"/>
      <c r="H522" s="260"/>
      <c r="I522" s="261"/>
      <c r="J522" s="261"/>
    </row>
    <row r="523" spans="1:10" ht="15">
      <c r="A523" s="217"/>
      <c r="B523" s="218"/>
      <c r="C523" s="218"/>
      <c r="D523" s="218"/>
      <c r="E523" s="218"/>
      <c r="F523" s="260"/>
      <c r="G523" s="224"/>
      <c r="H523" s="260"/>
      <c r="I523" s="261"/>
      <c r="J523" s="261"/>
    </row>
    <row r="524" spans="1:10" ht="15">
      <c r="A524" s="217"/>
      <c r="B524" s="218"/>
      <c r="C524" s="218"/>
      <c r="D524" s="218"/>
      <c r="E524" s="218"/>
      <c r="F524" s="260"/>
      <c r="G524" s="224"/>
      <c r="H524" s="260"/>
      <c r="I524" s="261"/>
      <c r="J524" s="261"/>
    </row>
    <row r="525" spans="1:10" ht="15">
      <c r="A525" s="217"/>
      <c r="B525" s="218"/>
      <c r="C525" s="218"/>
      <c r="D525" s="218"/>
      <c r="E525" s="218"/>
      <c r="F525" s="260"/>
      <c r="G525" s="224"/>
      <c r="H525" s="260"/>
      <c r="I525" s="261"/>
      <c r="J525" s="261"/>
    </row>
    <row r="526" spans="1:10" ht="15">
      <c r="A526" s="217"/>
      <c r="B526" s="218"/>
      <c r="C526" s="218"/>
      <c r="D526" s="218"/>
      <c r="E526" s="218"/>
      <c r="F526" s="260"/>
      <c r="G526" s="224"/>
      <c r="H526" s="260"/>
      <c r="I526" s="261"/>
      <c r="J526" s="261"/>
    </row>
    <row r="527" spans="1:10" ht="15">
      <c r="A527" s="217"/>
      <c r="B527" s="218"/>
      <c r="C527" s="218"/>
      <c r="D527" s="218"/>
      <c r="E527" s="218"/>
      <c r="F527" s="260"/>
      <c r="G527" s="224"/>
      <c r="H527" s="260"/>
      <c r="I527" s="261"/>
      <c r="J527" s="261"/>
    </row>
    <row r="528" spans="1:10" ht="15">
      <c r="A528" s="217"/>
      <c r="B528" s="218"/>
      <c r="C528" s="218"/>
      <c r="D528" s="218"/>
      <c r="E528" s="218"/>
      <c r="F528" s="260"/>
      <c r="G528" s="224"/>
      <c r="H528" s="260"/>
      <c r="I528" s="261"/>
      <c r="J528" s="261"/>
    </row>
    <row r="529" spans="1:10" ht="15">
      <c r="A529" s="217"/>
      <c r="B529" s="218"/>
      <c r="C529" s="218"/>
      <c r="D529" s="218"/>
      <c r="E529" s="218"/>
      <c r="F529" s="260"/>
      <c r="G529" s="224"/>
      <c r="H529" s="260"/>
      <c r="I529" s="261"/>
      <c r="J529" s="261"/>
    </row>
    <row r="530" spans="1:10" ht="15">
      <c r="A530" s="217"/>
      <c r="B530" s="218"/>
      <c r="C530" s="218"/>
      <c r="D530" s="218"/>
      <c r="E530" s="218"/>
      <c r="F530" s="260"/>
      <c r="G530" s="224"/>
      <c r="H530" s="260"/>
      <c r="I530" s="261"/>
      <c r="J530" s="261"/>
    </row>
    <row r="531" spans="1:10" ht="15">
      <c r="A531" s="217"/>
      <c r="B531" s="218"/>
      <c r="C531" s="218"/>
      <c r="D531" s="218"/>
      <c r="E531" s="218"/>
      <c r="F531" s="260"/>
      <c r="G531" s="224"/>
      <c r="H531" s="260"/>
      <c r="I531" s="261"/>
      <c r="J531" s="261"/>
    </row>
    <row r="532" spans="1:10" ht="15">
      <c r="A532" s="217"/>
      <c r="B532" s="218"/>
      <c r="C532" s="218"/>
      <c r="D532" s="218"/>
      <c r="E532" s="218"/>
      <c r="F532" s="260"/>
      <c r="G532" s="224"/>
      <c r="H532" s="260"/>
      <c r="I532" s="261"/>
      <c r="J532" s="261"/>
    </row>
    <row r="533" spans="1:10" ht="15">
      <c r="A533" s="217"/>
      <c r="B533" s="218"/>
      <c r="C533" s="218"/>
      <c r="D533" s="218"/>
      <c r="E533" s="218"/>
      <c r="F533" s="260"/>
      <c r="G533" s="224"/>
      <c r="H533" s="260"/>
      <c r="I533" s="261"/>
      <c r="J533" s="261"/>
    </row>
    <row r="534" spans="1:10" ht="15">
      <c r="A534" s="217"/>
      <c r="B534" s="218"/>
      <c r="C534" s="218"/>
      <c r="D534" s="218"/>
      <c r="E534" s="218"/>
      <c r="F534" s="260"/>
      <c r="G534" s="224"/>
      <c r="H534" s="260"/>
      <c r="I534" s="261"/>
      <c r="J534" s="261"/>
    </row>
    <row r="535" spans="1:10" ht="15">
      <c r="A535" s="217"/>
      <c r="B535" s="218"/>
      <c r="C535" s="218"/>
      <c r="D535" s="218"/>
      <c r="E535" s="218"/>
      <c r="F535" s="260"/>
      <c r="G535" s="224"/>
      <c r="H535" s="260"/>
      <c r="I535" s="261"/>
      <c r="J535" s="261"/>
    </row>
    <row r="536" spans="1:10" ht="15">
      <c r="A536" s="217"/>
      <c r="B536" s="218"/>
      <c r="C536" s="218"/>
      <c r="D536" s="218"/>
      <c r="E536" s="218"/>
      <c r="F536" s="260"/>
      <c r="G536" s="224"/>
      <c r="H536" s="260"/>
      <c r="I536" s="261"/>
      <c r="J536" s="261"/>
    </row>
    <row r="537" spans="1:10" ht="15">
      <c r="A537" s="217"/>
      <c r="B537" s="218"/>
      <c r="C537" s="218"/>
      <c r="D537" s="218"/>
      <c r="E537" s="218"/>
      <c r="F537" s="260"/>
      <c r="G537" s="224"/>
      <c r="H537" s="260"/>
      <c r="I537" s="261"/>
      <c r="J537" s="261"/>
    </row>
    <row r="538" spans="1:10" ht="15">
      <c r="A538" s="217"/>
      <c r="B538" s="218"/>
      <c r="C538" s="218"/>
      <c r="D538" s="218"/>
      <c r="E538" s="218"/>
      <c r="F538" s="260"/>
      <c r="G538" s="224"/>
      <c r="H538" s="260"/>
      <c r="I538" s="261"/>
      <c r="J538" s="261"/>
    </row>
    <row r="539" spans="1:10" ht="15">
      <c r="A539" s="217"/>
      <c r="B539" s="218"/>
      <c r="C539" s="218"/>
      <c r="D539" s="218"/>
      <c r="E539" s="218"/>
      <c r="F539" s="260"/>
      <c r="G539" s="224"/>
      <c r="H539" s="260"/>
      <c r="I539" s="261"/>
      <c r="J539" s="261"/>
    </row>
    <row r="540" spans="1:10" ht="15">
      <c r="A540" s="217"/>
      <c r="B540" s="218"/>
      <c r="C540" s="218"/>
      <c r="D540" s="218"/>
      <c r="E540" s="218"/>
      <c r="F540" s="260"/>
      <c r="G540" s="224"/>
      <c r="H540" s="260"/>
      <c r="I540" s="261"/>
      <c r="J540" s="261"/>
    </row>
    <row r="541" spans="1:10" ht="15">
      <c r="A541" s="217"/>
      <c r="B541" s="218"/>
      <c r="C541" s="218"/>
      <c r="D541" s="218"/>
      <c r="E541" s="218"/>
      <c r="F541" s="260"/>
      <c r="G541" s="224"/>
      <c r="H541" s="260"/>
      <c r="I541" s="261"/>
      <c r="J541" s="261"/>
    </row>
    <row r="542" spans="1:10" ht="15">
      <c r="A542" s="217"/>
      <c r="B542" s="218"/>
      <c r="C542" s="218"/>
      <c r="D542" s="218"/>
      <c r="E542" s="218"/>
      <c r="F542" s="260"/>
      <c r="G542" s="224"/>
      <c r="H542" s="260"/>
      <c r="I542" s="261"/>
      <c r="J542" s="261"/>
    </row>
    <row r="543" spans="1:10" ht="15">
      <c r="A543" s="217"/>
      <c r="B543" s="218"/>
      <c r="C543" s="218"/>
      <c r="D543" s="218"/>
      <c r="E543" s="218"/>
      <c r="F543" s="260"/>
      <c r="G543" s="224"/>
      <c r="H543" s="260"/>
      <c r="I543" s="261"/>
      <c r="J543" s="261"/>
    </row>
    <row r="544" spans="1:10" ht="15">
      <c r="A544" s="217"/>
      <c r="B544" s="218"/>
      <c r="C544" s="218"/>
      <c r="D544" s="218"/>
      <c r="E544" s="218"/>
      <c r="F544" s="260"/>
      <c r="G544" s="224"/>
      <c r="H544" s="260"/>
      <c r="I544" s="261"/>
      <c r="J544" s="261"/>
    </row>
    <row r="545" spans="1:10" ht="15">
      <c r="A545" s="217"/>
      <c r="B545" s="218"/>
      <c r="C545" s="218"/>
      <c r="D545" s="218"/>
      <c r="E545" s="218"/>
      <c r="F545" s="260"/>
      <c r="G545" s="224"/>
      <c r="H545" s="260"/>
      <c r="I545" s="261"/>
      <c r="J545" s="261"/>
    </row>
    <row r="546" spans="1:10" ht="15">
      <c r="A546" s="217"/>
      <c r="B546" s="218"/>
      <c r="C546" s="218"/>
      <c r="D546" s="218"/>
      <c r="E546" s="218"/>
      <c r="F546" s="260"/>
      <c r="G546" s="224"/>
      <c r="H546" s="260"/>
      <c r="I546" s="261"/>
      <c r="J546" s="261"/>
    </row>
    <row r="547" spans="1:10" ht="15">
      <c r="A547" s="217"/>
      <c r="B547" s="218"/>
      <c r="C547" s="218"/>
      <c r="D547" s="218"/>
      <c r="E547" s="218"/>
      <c r="F547" s="260"/>
      <c r="G547" s="224"/>
      <c r="H547" s="260"/>
      <c r="I547" s="261"/>
      <c r="J547" s="261"/>
    </row>
    <row r="548" spans="1:10" ht="15">
      <c r="A548" s="217"/>
      <c r="B548" s="218"/>
      <c r="C548" s="218"/>
      <c r="D548" s="218"/>
      <c r="E548" s="218"/>
      <c r="F548" s="260"/>
      <c r="G548" s="224"/>
      <c r="H548" s="260"/>
      <c r="I548" s="261"/>
      <c r="J548" s="261"/>
    </row>
    <row r="549" spans="1:10" ht="15">
      <c r="A549" s="217"/>
      <c r="B549" s="218"/>
      <c r="C549" s="218"/>
      <c r="D549" s="218"/>
      <c r="E549" s="218"/>
      <c r="F549" s="260"/>
      <c r="G549" s="224"/>
      <c r="H549" s="260"/>
      <c r="I549" s="261"/>
      <c r="J549" s="261"/>
    </row>
    <row r="550" spans="1:10" ht="15">
      <c r="A550" s="217"/>
      <c r="B550" s="218"/>
      <c r="C550" s="218"/>
      <c r="D550" s="218"/>
      <c r="E550" s="218"/>
      <c r="F550" s="260"/>
      <c r="G550" s="224"/>
      <c r="H550" s="260"/>
      <c r="I550" s="261"/>
      <c r="J550" s="261"/>
    </row>
    <row r="551" spans="1:10" ht="15">
      <c r="A551" s="217"/>
      <c r="B551" s="218"/>
      <c r="C551" s="218"/>
      <c r="D551" s="218"/>
      <c r="E551" s="218"/>
      <c r="F551" s="260"/>
      <c r="G551" s="224"/>
      <c r="H551" s="260"/>
      <c r="I551" s="261"/>
      <c r="J551" s="261"/>
    </row>
    <row r="552" spans="1:10" ht="15">
      <c r="A552" s="217"/>
      <c r="B552" s="218"/>
      <c r="C552" s="218"/>
      <c r="D552" s="218"/>
      <c r="E552" s="218"/>
      <c r="F552" s="260"/>
      <c r="G552" s="224"/>
      <c r="H552" s="260"/>
      <c r="I552" s="261"/>
      <c r="J552" s="261"/>
    </row>
    <row r="553" spans="1:10" ht="15">
      <c r="A553" s="217"/>
      <c r="B553" s="218"/>
      <c r="C553" s="218"/>
      <c r="D553" s="218"/>
      <c r="E553" s="218"/>
      <c r="F553" s="260"/>
      <c r="G553" s="224"/>
      <c r="H553" s="260"/>
      <c r="I553" s="261"/>
      <c r="J553" s="261"/>
    </row>
    <row r="554" spans="1:10" ht="15">
      <c r="A554" s="217"/>
      <c r="B554" s="218"/>
      <c r="C554" s="218"/>
      <c r="D554" s="218"/>
      <c r="E554" s="218"/>
      <c r="F554" s="260"/>
      <c r="G554" s="224"/>
      <c r="H554" s="260"/>
      <c r="I554" s="261"/>
      <c r="J554" s="261"/>
    </row>
    <row r="555" spans="1:10" ht="15">
      <c r="A555" s="217"/>
      <c r="B555" s="218"/>
      <c r="C555" s="218"/>
      <c r="D555" s="218"/>
      <c r="E555" s="218"/>
      <c r="F555" s="260"/>
      <c r="G555" s="224"/>
      <c r="H555" s="260"/>
      <c r="I555" s="261"/>
      <c r="J555" s="261"/>
    </row>
    <row r="556" spans="1:10" ht="15">
      <c r="A556" s="217"/>
      <c r="B556" s="218"/>
      <c r="C556" s="218"/>
      <c r="D556" s="218"/>
      <c r="E556" s="218"/>
      <c r="F556" s="260"/>
      <c r="G556" s="224"/>
      <c r="H556" s="260"/>
      <c r="I556" s="261"/>
      <c r="J556" s="261"/>
    </row>
    <row r="557" spans="1:10" ht="15">
      <c r="A557" s="217"/>
      <c r="B557" s="218"/>
      <c r="C557" s="218"/>
      <c r="D557" s="218"/>
      <c r="E557" s="218"/>
      <c r="F557" s="260"/>
      <c r="G557" s="224"/>
      <c r="H557" s="260"/>
      <c r="I557" s="261"/>
      <c r="J557" s="261"/>
    </row>
    <row r="558" spans="1:10" ht="15">
      <c r="A558" s="217"/>
      <c r="B558" s="218"/>
      <c r="C558" s="218"/>
      <c r="D558" s="218"/>
      <c r="E558" s="218"/>
      <c r="F558" s="260"/>
      <c r="G558" s="224"/>
      <c r="H558" s="260"/>
      <c r="I558" s="261"/>
      <c r="J558" s="261"/>
    </row>
    <row r="559" spans="1:10" ht="15">
      <c r="A559" s="217"/>
      <c r="B559" s="218"/>
      <c r="C559" s="218"/>
      <c r="D559" s="218"/>
      <c r="E559" s="218"/>
      <c r="F559" s="260"/>
      <c r="G559" s="224"/>
      <c r="H559" s="260"/>
      <c r="I559" s="261"/>
      <c r="J559" s="261"/>
    </row>
    <row r="560" spans="1:10" ht="15">
      <c r="A560" s="217"/>
      <c r="B560" s="218"/>
      <c r="C560" s="218"/>
      <c r="D560" s="218"/>
      <c r="E560" s="218"/>
      <c r="F560" s="260"/>
      <c r="G560" s="224"/>
      <c r="H560" s="260"/>
      <c r="I560" s="261"/>
      <c r="J560" s="261"/>
    </row>
    <row r="561" spans="1:10" ht="15">
      <c r="A561" s="217"/>
      <c r="B561" s="218"/>
      <c r="C561" s="218"/>
      <c r="D561" s="218"/>
      <c r="E561" s="218"/>
      <c r="F561" s="260"/>
      <c r="G561" s="224"/>
      <c r="H561" s="260"/>
      <c r="I561" s="261"/>
      <c r="J561" s="261"/>
    </row>
    <row r="562" spans="1:10" ht="15">
      <c r="A562" s="217"/>
      <c r="B562" s="218"/>
      <c r="C562" s="218"/>
      <c r="D562" s="218"/>
      <c r="E562" s="218"/>
      <c r="F562" s="260"/>
      <c r="G562" s="224"/>
      <c r="H562" s="260"/>
      <c r="I562" s="261"/>
      <c r="J562" s="261"/>
    </row>
    <row r="563" spans="1:10" ht="15">
      <c r="A563" s="217"/>
      <c r="B563" s="218"/>
      <c r="C563" s="218"/>
      <c r="D563" s="218"/>
      <c r="E563" s="218"/>
      <c r="F563" s="260"/>
      <c r="G563" s="224"/>
      <c r="H563" s="260"/>
      <c r="I563" s="261"/>
      <c r="J563" s="261"/>
    </row>
    <row r="564" spans="1:10" ht="15">
      <c r="A564" s="217"/>
      <c r="B564" s="218"/>
      <c r="C564" s="218"/>
      <c r="D564" s="218"/>
      <c r="E564" s="218"/>
      <c r="F564" s="260"/>
      <c r="G564" s="224"/>
      <c r="H564" s="260"/>
      <c r="I564" s="261"/>
      <c r="J564" s="261"/>
    </row>
    <row r="565" spans="1:10" ht="15">
      <c r="A565" s="217"/>
      <c r="B565" s="218"/>
      <c r="C565" s="218"/>
      <c r="D565" s="218"/>
      <c r="E565" s="218"/>
      <c r="F565" s="260"/>
      <c r="G565" s="224"/>
      <c r="H565" s="260"/>
      <c r="I565" s="261"/>
      <c r="J565" s="261"/>
    </row>
    <row r="566" spans="1:10" ht="15">
      <c r="A566" s="217"/>
      <c r="B566" s="218"/>
      <c r="C566" s="218"/>
      <c r="D566" s="218"/>
      <c r="E566" s="218"/>
      <c r="F566" s="260"/>
      <c r="G566" s="224"/>
      <c r="H566" s="260"/>
      <c r="I566" s="261"/>
      <c r="J566" s="261"/>
    </row>
    <row r="567" spans="1:10" ht="15">
      <c r="A567" s="217"/>
      <c r="B567" s="218"/>
      <c r="C567" s="218"/>
      <c r="D567" s="218"/>
      <c r="E567" s="218"/>
      <c r="F567" s="260"/>
      <c r="G567" s="224"/>
      <c r="H567" s="260"/>
      <c r="I567" s="261"/>
      <c r="J567" s="261"/>
    </row>
    <row r="568" spans="1:10" ht="15">
      <c r="A568" s="217"/>
      <c r="B568" s="218"/>
      <c r="C568" s="218"/>
      <c r="D568" s="218"/>
      <c r="E568" s="218"/>
      <c r="F568" s="260"/>
      <c r="G568" s="224"/>
      <c r="H568" s="260"/>
      <c r="I568" s="261"/>
      <c r="J568" s="261"/>
    </row>
    <row r="569" spans="1:10" ht="15">
      <c r="A569" s="217"/>
      <c r="B569" s="218"/>
      <c r="C569" s="218"/>
      <c r="D569" s="218"/>
      <c r="E569" s="218"/>
      <c r="F569" s="260"/>
      <c r="G569" s="224"/>
      <c r="H569" s="260"/>
      <c r="I569" s="261"/>
      <c r="J569" s="261"/>
    </row>
    <row r="570" spans="1:10" ht="15">
      <c r="A570" s="217"/>
      <c r="B570" s="218"/>
      <c r="C570" s="218"/>
      <c r="D570" s="218"/>
      <c r="E570" s="218"/>
      <c r="F570" s="260"/>
      <c r="G570" s="224"/>
      <c r="H570" s="260"/>
      <c r="I570" s="261"/>
      <c r="J570" s="261"/>
    </row>
    <row r="571" spans="1:10" ht="15">
      <c r="A571" s="217"/>
      <c r="B571" s="218"/>
      <c r="C571" s="218"/>
      <c r="D571" s="218"/>
      <c r="E571" s="218"/>
      <c r="F571" s="260"/>
      <c r="G571" s="224"/>
      <c r="H571" s="260"/>
      <c r="I571" s="261"/>
      <c r="J571" s="261"/>
    </row>
    <row r="572" spans="1:10" ht="15">
      <c r="A572" s="217"/>
      <c r="B572" s="218"/>
      <c r="C572" s="218"/>
      <c r="D572" s="218"/>
      <c r="E572" s="218"/>
      <c r="F572" s="260"/>
      <c r="G572" s="224"/>
      <c r="H572" s="260"/>
      <c r="I572" s="261"/>
      <c r="J572" s="261"/>
    </row>
    <row r="573" spans="1:10" ht="15">
      <c r="A573" s="217"/>
      <c r="B573" s="218"/>
      <c r="C573" s="218"/>
      <c r="D573" s="218"/>
      <c r="E573" s="218"/>
      <c r="F573" s="260"/>
      <c r="G573" s="224"/>
      <c r="H573" s="260"/>
      <c r="I573" s="261"/>
      <c r="J573" s="261"/>
    </row>
    <row r="574" spans="1:10" ht="15">
      <c r="A574" s="217"/>
      <c r="B574" s="218"/>
      <c r="C574" s="218"/>
      <c r="D574" s="218"/>
      <c r="E574" s="218"/>
      <c r="F574" s="260"/>
      <c r="G574" s="224"/>
      <c r="H574" s="260"/>
      <c r="I574" s="261"/>
      <c r="J574" s="261"/>
    </row>
    <row r="575" spans="1:10" ht="15">
      <c r="A575" s="217"/>
      <c r="B575" s="218"/>
      <c r="C575" s="218"/>
      <c r="D575" s="218"/>
      <c r="E575" s="218"/>
      <c r="F575" s="260"/>
      <c r="G575" s="224"/>
      <c r="H575" s="260"/>
      <c r="I575" s="261"/>
      <c r="J575" s="261"/>
    </row>
    <row r="576" spans="1:10" ht="15">
      <c r="A576" s="217"/>
      <c r="B576" s="218"/>
      <c r="C576" s="218"/>
      <c r="D576" s="218"/>
      <c r="E576" s="218"/>
      <c r="F576" s="260"/>
      <c r="G576" s="224"/>
      <c r="H576" s="260"/>
      <c r="I576" s="261"/>
      <c r="J576" s="261"/>
    </row>
    <row r="577" spans="1:10" ht="15">
      <c r="A577" s="217"/>
      <c r="B577" s="218"/>
      <c r="C577" s="218"/>
      <c r="D577" s="218"/>
      <c r="E577" s="218"/>
      <c r="F577" s="260"/>
      <c r="G577" s="224"/>
      <c r="H577" s="260"/>
      <c r="I577" s="261"/>
      <c r="J577" s="261"/>
    </row>
    <row r="578" spans="1:10" ht="15">
      <c r="A578" s="217"/>
      <c r="B578" s="218"/>
      <c r="C578" s="218"/>
      <c r="D578" s="218"/>
      <c r="E578" s="218"/>
      <c r="F578" s="260"/>
      <c r="G578" s="224"/>
      <c r="H578" s="260"/>
      <c r="I578" s="261"/>
      <c r="J578" s="261"/>
    </row>
    <row r="579" spans="1:10" ht="15">
      <c r="A579" s="217"/>
      <c r="B579" s="218"/>
      <c r="C579" s="218"/>
      <c r="D579" s="218"/>
      <c r="E579" s="218"/>
      <c r="F579" s="260"/>
      <c r="G579" s="224"/>
      <c r="H579" s="260"/>
      <c r="I579" s="261"/>
      <c r="J579" s="261"/>
    </row>
    <row r="580" spans="1:10" ht="15">
      <c r="A580" s="217"/>
      <c r="B580" s="218"/>
      <c r="C580" s="218"/>
      <c r="D580" s="218"/>
      <c r="E580" s="218"/>
      <c r="F580" s="260"/>
      <c r="G580" s="224"/>
      <c r="H580" s="260"/>
      <c r="I580" s="261"/>
      <c r="J580" s="261"/>
    </row>
    <row r="581" spans="1:10" ht="15">
      <c r="A581" s="217"/>
      <c r="B581" s="218"/>
      <c r="C581" s="218"/>
      <c r="D581" s="218"/>
      <c r="E581" s="218"/>
      <c r="F581" s="260"/>
      <c r="G581" s="224"/>
      <c r="H581" s="260"/>
      <c r="I581" s="261"/>
      <c r="J581" s="261"/>
    </row>
    <row r="582" spans="1:10" ht="15">
      <c r="A582" s="217"/>
      <c r="B582" s="218"/>
      <c r="C582" s="218"/>
      <c r="D582" s="218"/>
      <c r="E582" s="218"/>
      <c r="F582" s="260"/>
      <c r="G582" s="224"/>
      <c r="H582" s="260"/>
      <c r="I582" s="261"/>
      <c r="J582" s="261"/>
    </row>
    <row r="583" spans="1:10" ht="15">
      <c r="A583" s="217"/>
      <c r="B583" s="218"/>
      <c r="C583" s="218"/>
      <c r="D583" s="218"/>
      <c r="E583" s="218"/>
      <c r="F583" s="260"/>
      <c r="G583" s="224"/>
      <c r="H583" s="260"/>
      <c r="I583" s="261"/>
      <c r="J583" s="261"/>
    </row>
    <row r="584" spans="1:10" ht="15">
      <c r="A584" s="217"/>
      <c r="B584" s="218"/>
      <c r="C584" s="218"/>
      <c r="D584" s="218"/>
      <c r="E584" s="218"/>
      <c r="F584" s="260"/>
      <c r="G584" s="224"/>
      <c r="H584" s="260"/>
      <c r="I584" s="261"/>
      <c r="J584" s="261"/>
    </row>
    <row r="585" spans="1:10" ht="15">
      <c r="A585" s="217"/>
      <c r="B585" s="218"/>
      <c r="C585" s="218"/>
      <c r="D585" s="218"/>
      <c r="E585" s="218"/>
      <c r="F585" s="260"/>
      <c r="G585" s="224"/>
      <c r="H585" s="260"/>
      <c r="I585" s="261"/>
      <c r="J585" s="261"/>
    </row>
    <row r="586" spans="1:10" ht="15">
      <c r="A586" s="217"/>
      <c r="B586" s="218"/>
      <c r="C586" s="218"/>
      <c r="D586" s="218"/>
      <c r="E586" s="218"/>
      <c r="F586" s="260"/>
      <c r="G586" s="224"/>
      <c r="H586" s="260"/>
      <c r="I586" s="261"/>
      <c r="J586" s="261"/>
    </row>
    <row r="587" spans="1:10" ht="15">
      <c r="A587" s="217"/>
      <c r="B587" s="218"/>
      <c r="C587" s="218"/>
      <c r="D587" s="218"/>
      <c r="E587" s="218"/>
      <c r="F587" s="260"/>
      <c r="G587" s="224"/>
      <c r="H587" s="260"/>
      <c r="I587" s="261"/>
      <c r="J587" s="261"/>
    </row>
    <row r="588" spans="1:10" ht="15">
      <c r="A588" s="217"/>
      <c r="B588" s="218"/>
      <c r="C588" s="218"/>
      <c r="D588" s="218"/>
      <c r="E588" s="218"/>
      <c r="F588" s="260"/>
      <c r="G588" s="224"/>
      <c r="H588" s="260"/>
      <c r="I588" s="261"/>
      <c r="J588" s="261"/>
    </row>
    <row r="589" spans="1:10" ht="15">
      <c r="A589" s="217"/>
      <c r="B589" s="218"/>
      <c r="C589" s="218"/>
      <c r="D589" s="218"/>
      <c r="E589" s="218"/>
      <c r="F589" s="260"/>
      <c r="G589" s="224"/>
      <c r="H589" s="260"/>
      <c r="I589" s="261"/>
      <c r="J589" s="261"/>
    </row>
    <row r="590" spans="1:10" ht="15">
      <c r="A590" s="217"/>
      <c r="B590" s="218"/>
      <c r="C590" s="218"/>
      <c r="D590" s="218"/>
      <c r="E590" s="218"/>
      <c r="F590" s="260"/>
      <c r="G590" s="224"/>
      <c r="H590" s="260"/>
      <c r="I590" s="261"/>
      <c r="J590" s="261"/>
    </row>
    <row r="591" spans="1:10" ht="15">
      <c r="A591" s="217"/>
      <c r="B591" s="218"/>
      <c r="C591" s="218"/>
      <c r="D591" s="218"/>
      <c r="E591" s="218"/>
      <c r="F591" s="260"/>
      <c r="G591" s="224"/>
      <c r="H591" s="260"/>
      <c r="I591" s="261"/>
      <c r="J591" s="261"/>
    </row>
    <row r="592" spans="1:10" ht="15">
      <c r="A592" s="217"/>
      <c r="B592" s="218"/>
      <c r="C592" s="218"/>
      <c r="D592" s="218"/>
      <c r="E592" s="218"/>
      <c r="F592" s="260"/>
      <c r="G592" s="224"/>
      <c r="H592" s="260"/>
      <c r="I592" s="261"/>
      <c r="J592" s="261"/>
    </row>
    <row r="593" spans="1:10" ht="15">
      <c r="A593" s="217"/>
      <c r="B593" s="218"/>
      <c r="C593" s="218"/>
      <c r="D593" s="218"/>
      <c r="E593" s="218"/>
      <c r="F593" s="260"/>
      <c r="G593" s="224"/>
      <c r="H593" s="260"/>
      <c r="I593" s="261"/>
      <c r="J593" s="261"/>
    </row>
    <row r="594" spans="1:10" ht="15">
      <c r="A594" s="217"/>
      <c r="B594" s="218"/>
      <c r="C594" s="218"/>
      <c r="D594" s="218"/>
      <c r="E594" s="218"/>
      <c r="F594" s="260"/>
      <c r="G594" s="224"/>
      <c r="H594" s="260"/>
      <c r="I594" s="261"/>
      <c r="J594" s="261"/>
    </row>
    <row r="595" spans="1:10" ht="15">
      <c r="A595" s="217"/>
      <c r="B595" s="218"/>
      <c r="C595" s="218"/>
      <c r="D595" s="218"/>
      <c r="E595" s="218"/>
      <c r="F595" s="260"/>
      <c r="G595" s="224"/>
      <c r="H595" s="260"/>
      <c r="I595" s="261"/>
      <c r="J595" s="261"/>
    </row>
    <row r="596" spans="1:10" ht="15">
      <c r="A596" s="217"/>
      <c r="B596" s="218"/>
      <c r="C596" s="218"/>
      <c r="D596" s="218"/>
      <c r="E596" s="218"/>
      <c r="F596" s="260"/>
      <c r="G596" s="224"/>
      <c r="H596" s="260"/>
      <c r="I596" s="261"/>
      <c r="J596" s="261"/>
    </row>
    <row r="597" spans="1:10" ht="15">
      <c r="A597" s="217"/>
      <c r="B597" s="218"/>
      <c r="C597" s="218"/>
      <c r="D597" s="218"/>
      <c r="E597" s="218"/>
      <c r="F597" s="260"/>
      <c r="G597" s="224"/>
      <c r="H597" s="260"/>
      <c r="I597" s="261"/>
      <c r="J597" s="261"/>
    </row>
    <row r="598" spans="1:10" ht="15">
      <c r="A598" s="217"/>
      <c r="B598" s="218"/>
      <c r="C598" s="218"/>
      <c r="D598" s="218"/>
      <c r="E598" s="218"/>
      <c r="F598" s="260"/>
      <c r="G598" s="224"/>
      <c r="H598" s="260"/>
      <c r="I598" s="261"/>
      <c r="J598" s="261"/>
    </row>
    <row r="599" spans="1:10" ht="15">
      <c r="A599" s="217"/>
      <c r="B599" s="218"/>
      <c r="C599" s="218"/>
      <c r="D599" s="218"/>
      <c r="E599" s="218"/>
      <c r="F599" s="260"/>
      <c r="G599" s="224"/>
      <c r="H599" s="260"/>
      <c r="I599" s="261"/>
      <c r="J599" s="261"/>
    </row>
    <row r="600" spans="1:10" ht="15">
      <c r="A600" s="217"/>
      <c r="B600" s="218"/>
      <c r="C600" s="218"/>
      <c r="D600" s="218"/>
      <c r="E600" s="218"/>
      <c r="F600" s="260"/>
      <c r="G600" s="224"/>
      <c r="H600" s="260"/>
      <c r="I600" s="261"/>
      <c r="J600" s="261"/>
    </row>
    <row r="601" spans="1:10" ht="15">
      <c r="A601" s="217"/>
      <c r="B601" s="218"/>
      <c r="C601" s="218"/>
      <c r="D601" s="218"/>
      <c r="E601" s="218"/>
      <c r="F601" s="260"/>
      <c r="G601" s="224"/>
      <c r="H601" s="260"/>
      <c r="I601" s="261"/>
      <c r="J601" s="261"/>
    </row>
    <row r="602" spans="1:10" ht="15">
      <c r="A602" s="217"/>
      <c r="B602" s="218"/>
      <c r="C602" s="218"/>
      <c r="D602" s="218"/>
      <c r="E602" s="218"/>
      <c r="F602" s="260"/>
      <c r="G602" s="224"/>
      <c r="H602" s="260"/>
      <c r="I602" s="261"/>
      <c r="J602" s="261"/>
    </row>
    <row r="603" spans="1:10" ht="15">
      <c r="A603" s="217"/>
      <c r="B603" s="218"/>
      <c r="C603" s="218"/>
      <c r="D603" s="218"/>
      <c r="E603" s="218"/>
      <c r="F603" s="260"/>
      <c r="G603" s="224"/>
      <c r="H603" s="260"/>
      <c r="I603" s="261"/>
      <c r="J603" s="261"/>
    </row>
    <row r="604" spans="1:10" ht="15">
      <c r="A604" s="217"/>
      <c r="B604" s="218"/>
      <c r="C604" s="218"/>
      <c r="D604" s="218"/>
      <c r="E604" s="218"/>
      <c r="F604" s="260"/>
      <c r="G604" s="224"/>
      <c r="H604" s="260"/>
      <c r="I604" s="261"/>
      <c r="J604" s="261"/>
    </row>
    <row r="605" spans="1:10" ht="15">
      <c r="A605" s="217"/>
      <c r="B605" s="218"/>
      <c r="C605" s="218"/>
      <c r="D605" s="218"/>
      <c r="E605" s="218"/>
      <c r="F605" s="260"/>
      <c r="G605" s="224"/>
      <c r="H605" s="260"/>
      <c r="I605" s="261"/>
      <c r="J605" s="261"/>
    </row>
    <row r="606" spans="1:10" ht="15">
      <c r="A606" s="217"/>
      <c r="B606" s="218"/>
      <c r="C606" s="218"/>
      <c r="D606" s="218"/>
      <c r="E606" s="218"/>
      <c r="F606" s="260"/>
      <c r="G606" s="224"/>
      <c r="H606" s="260"/>
      <c r="I606" s="261"/>
      <c r="J606" s="261"/>
    </row>
    <row r="607" spans="1:10" ht="15">
      <c r="A607" s="217"/>
      <c r="B607" s="218"/>
      <c r="C607" s="218"/>
      <c r="D607" s="218"/>
      <c r="E607" s="218"/>
      <c r="F607" s="260"/>
      <c r="G607" s="224"/>
      <c r="H607" s="260"/>
      <c r="I607" s="261"/>
      <c r="J607" s="261"/>
    </row>
    <row r="608" spans="1:10" ht="15">
      <c r="A608" s="217"/>
      <c r="B608" s="218"/>
      <c r="C608" s="218"/>
      <c r="D608" s="218"/>
      <c r="E608" s="218"/>
      <c r="F608" s="260"/>
      <c r="G608" s="224"/>
      <c r="H608" s="260"/>
      <c r="I608" s="261"/>
      <c r="J608" s="261"/>
    </row>
    <row r="609" spans="1:10" ht="15">
      <c r="A609" s="217"/>
      <c r="B609" s="218"/>
      <c r="C609" s="218"/>
      <c r="D609" s="218"/>
      <c r="E609" s="218"/>
      <c r="F609" s="260"/>
      <c r="G609" s="224"/>
      <c r="H609" s="260"/>
      <c r="I609" s="261"/>
      <c r="J609" s="261"/>
    </row>
    <row r="610" spans="1:10" ht="15">
      <c r="A610" s="217"/>
      <c r="B610" s="218"/>
      <c r="C610" s="218"/>
      <c r="D610" s="218"/>
      <c r="E610" s="218"/>
      <c r="F610" s="260"/>
      <c r="G610" s="224"/>
      <c r="H610" s="260"/>
      <c r="I610" s="261"/>
      <c r="J610" s="261"/>
    </row>
    <row r="611" spans="1:10" ht="15">
      <c r="A611" s="217"/>
      <c r="B611" s="218"/>
      <c r="C611" s="218"/>
      <c r="D611" s="218"/>
      <c r="E611" s="218"/>
      <c r="F611" s="260"/>
      <c r="G611" s="224"/>
      <c r="H611" s="260"/>
      <c r="I611" s="261"/>
      <c r="J611" s="261"/>
    </row>
    <row r="612" spans="1:10" ht="15">
      <c r="A612" s="217"/>
      <c r="B612" s="218"/>
      <c r="C612" s="218"/>
      <c r="D612" s="218"/>
      <c r="E612" s="218"/>
      <c r="F612" s="260"/>
      <c r="G612" s="224"/>
      <c r="H612" s="260"/>
      <c r="I612" s="261"/>
      <c r="J612" s="261"/>
    </row>
    <row r="613" spans="1:10" ht="15">
      <c r="A613" s="217"/>
      <c r="B613" s="218"/>
      <c r="C613" s="218"/>
      <c r="D613" s="218"/>
      <c r="E613" s="218"/>
      <c r="F613" s="260"/>
      <c r="G613" s="224"/>
      <c r="H613" s="260"/>
      <c r="I613" s="261"/>
      <c r="J613" s="261"/>
    </row>
    <row r="614" spans="1:10" ht="15">
      <c r="A614" s="217"/>
      <c r="B614" s="218"/>
      <c r="C614" s="218"/>
      <c r="D614" s="218"/>
      <c r="E614" s="218"/>
      <c r="F614" s="260"/>
      <c r="G614" s="224"/>
      <c r="H614" s="260"/>
      <c r="I614" s="261"/>
      <c r="J614" s="261"/>
    </row>
    <row r="615" spans="1:10" ht="15">
      <c r="A615" s="217"/>
      <c r="B615" s="218"/>
      <c r="C615" s="218"/>
      <c r="D615" s="218"/>
      <c r="E615" s="218"/>
      <c r="F615" s="260"/>
      <c r="G615" s="224"/>
      <c r="H615" s="260"/>
      <c r="I615" s="261"/>
      <c r="J615" s="261"/>
    </row>
    <row r="616" spans="1:10" ht="15">
      <c r="A616" s="217"/>
      <c r="B616" s="218"/>
      <c r="C616" s="218"/>
      <c r="D616" s="218"/>
      <c r="E616" s="218"/>
      <c r="F616" s="260"/>
      <c r="G616" s="224"/>
      <c r="H616" s="260"/>
      <c r="I616" s="261"/>
      <c r="J616" s="261"/>
    </row>
    <row r="617" spans="1:10" ht="15">
      <c r="A617" s="217"/>
      <c r="B617" s="218"/>
      <c r="C617" s="218"/>
      <c r="D617" s="218"/>
      <c r="E617" s="218"/>
      <c r="F617" s="260"/>
      <c r="G617" s="224"/>
      <c r="H617" s="260"/>
      <c r="I617" s="261"/>
      <c r="J617" s="261"/>
    </row>
    <row r="618" spans="1:10" ht="15">
      <c r="A618" s="217"/>
      <c r="B618" s="218"/>
      <c r="C618" s="218"/>
      <c r="D618" s="218"/>
      <c r="E618" s="218"/>
      <c r="F618" s="260"/>
      <c r="G618" s="224"/>
      <c r="H618" s="260"/>
      <c r="I618" s="261"/>
      <c r="J618" s="261"/>
    </row>
    <row r="619" spans="1:10" ht="15">
      <c r="A619" s="217"/>
      <c r="B619" s="218"/>
      <c r="C619" s="218"/>
      <c r="D619" s="218"/>
      <c r="E619" s="218"/>
      <c r="F619" s="260"/>
      <c r="G619" s="224"/>
      <c r="H619" s="260"/>
      <c r="I619" s="261"/>
      <c r="J619" s="261"/>
    </row>
    <row r="620" spans="1:10" ht="15">
      <c r="A620" s="217"/>
      <c r="B620" s="218"/>
      <c r="C620" s="218"/>
      <c r="D620" s="218"/>
      <c r="E620" s="218"/>
      <c r="F620" s="260"/>
      <c r="G620" s="224"/>
      <c r="H620" s="260"/>
      <c r="I620" s="261"/>
      <c r="J620" s="261"/>
    </row>
    <row r="621" spans="1:10" ht="15">
      <c r="A621" s="217"/>
      <c r="B621" s="218"/>
      <c r="C621" s="218"/>
      <c r="D621" s="218"/>
      <c r="E621" s="218"/>
      <c r="F621" s="260"/>
      <c r="G621" s="224"/>
      <c r="H621" s="260"/>
      <c r="I621" s="261"/>
      <c r="J621" s="261"/>
    </row>
    <row r="622" spans="1:10" ht="15">
      <c r="A622" s="217"/>
      <c r="B622" s="218"/>
      <c r="C622" s="218"/>
      <c r="D622" s="218"/>
      <c r="E622" s="218"/>
      <c r="F622" s="260"/>
      <c r="G622" s="224"/>
      <c r="H622" s="260"/>
      <c r="I622" s="261"/>
      <c r="J622" s="261"/>
    </row>
    <row r="623" spans="1:10" ht="15">
      <c r="A623" s="217"/>
      <c r="B623" s="218"/>
      <c r="C623" s="218"/>
      <c r="D623" s="218"/>
      <c r="E623" s="218"/>
      <c r="F623" s="260"/>
      <c r="G623" s="224"/>
      <c r="H623" s="260"/>
      <c r="I623" s="261"/>
      <c r="J623" s="261"/>
    </row>
    <row r="624" spans="1:10" ht="15">
      <c r="A624" s="217"/>
      <c r="B624" s="218"/>
      <c r="C624" s="218"/>
      <c r="D624" s="218"/>
      <c r="E624" s="218"/>
      <c r="F624" s="260"/>
      <c r="G624" s="224"/>
      <c r="H624" s="260"/>
      <c r="I624" s="261"/>
      <c r="J624" s="261"/>
    </row>
    <row r="625" spans="1:10" ht="15">
      <c r="A625" s="217"/>
      <c r="B625" s="218"/>
      <c r="C625" s="218"/>
      <c r="D625" s="218"/>
      <c r="E625" s="218"/>
      <c r="F625" s="260"/>
      <c r="G625" s="224"/>
      <c r="H625" s="260"/>
      <c r="I625" s="261"/>
      <c r="J625" s="261"/>
    </row>
    <row r="626" spans="1:10" ht="15">
      <c r="A626" s="217"/>
      <c r="B626" s="218"/>
      <c r="C626" s="218"/>
      <c r="D626" s="218"/>
      <c r="E626" s="218"/>
      <c r="F626" s="260"/>
      <c r="G626" s="224"/>
      <c r="H626" s="260"/>
      <c r="I626" s="261"/>
      <c r="J626" s="261"/>
    </row>
    <row r="627" spans="1:10" ht="15">
      <c r="A627" s="217"/>
      <c r="B627" s="218"/>
      <c r="C627" s="218"/>
      <c r="D627" s="218"/>
      <c r="E627" s="218"/>
      <c r="F627" s="260"/>
      <c r="G627" s="224"/>
      <c r="H627" s="260"/>
      <c r="I627" s="261"/>
      <c r="J627" s="261"/>
    </row>
    <row r="628" spans="1:10" ht="15">
      <c r="A628" s="217"/>
      <c r="B628" s="218"/>
      <c r="C628" s="218"/>
      <c r="D628" s="218"/>
      <c r="E628" s="218"/>
      <c r="F628" s="260"/>
      <c r="G628" s="224"/>
      <c r="H628" s="260"/>
      <c r="I628" s="261"/>
      <c r="J628" s="261"/>
    </row>
    <row r="629" spans="1:10" ht="15">
      <c r="A629" s="217"/>
      <c r="B629" s="218"/>
      <c r="C629" s="218"/>
      <c r="D629" s="218"/>
      <c r="E629" s="218"/>
      <c r="F629" s="260"/>
      <c r="G629" s="224"/>
      <c r="H629" s="260"/>
      <c r="I629" s="261"/>
      <c r="J629" s="261"/>
    </row>
    <row r="630" spans="1:10" ht="15">
      <c r="A630" s="217"/>
      <c r="B630" s="218"/>
      <c r="C630" s="218"/>
      <c r="D630" s="218"/>
      <c r="E630" s="218"/>
      <c r="F630" s="260"/>
      <c r="G630" s="224"/>
      <c r="H630" s="260"/>
      <c r="I630" s="261"/>
      <c r="J630" s="261"/>
    </row>
    <row r="631" spans="1:10" ht="15">
      <c r="A631" s="217"/>
      <c r="B631" s="218"/>
      <c r="C631" s="218"/>
      <c r="D631" s="218"/>
      <c r="E631" s="218"/>
      <c r="F631" s="260"/>
      <c r="G631" s="224"/>
      <c r="H631" s="260"/>
      <c r="I631" s="261"/>
      <c r="J631" s="261"/>
    </row>
    <row r="632" spans="1:10" ht="15">
      <c r="A632" s="217"/>
      <c r="B632" s="218"/>
      <c r="C632" s="218"/>
      <c r="D632" s="218"/>
      <c r="E632" s="218"/>
      <c r="F632" s="260"/>
      <c r="G632" s="224"/>
      <c r="H632" s="260"/>
      <c r="I632" s="261"/>
      <c r="J632" s="261"/>
    </row>
    <row r="633" spans="1:10" ht="15">
      <c r="A633" s="217"/>
      <c r="B633" s="218"/>
      <c r="C633" s="218"/>
      <c r="D633" s="218"/>
      <c r="E633" s="218"/>
      <c r="F633" s="260"/>
      <c r="G633" s="224"/>
      <c r="H633" s="260"/>
      <c r="I633" s="261"/>
      <c r="J633" s="261"/>
    </row>
    <row r="634" spans="1:10" ht="15">
      <c r="A634" s="217"/>
      <c r="B634" s="218"/>
      <c r="C634" s="218"/>
      <c r="D634" s="218"/>
      <c r="E634" s="218"/>
      <c r="F634" s="260"/>
      <c r="G634" s="224"/>
      <c r="H634" s="260"/>
      <c r="I634" s="261"/>
      <c r="J634" s="261"/>
    </row>
    <row r="635" spans="1:10" ht="15">
      <c r="A635" s="217"/>
      <c r="B635" s="218"/>
      <c r="C635" s="218"/>
      <c r="D635" s="218"/>
      <c r="E635" s="218"/>
      <c r="F635" s="260"/>
      <c r="G635" s="224"/>
      <c r="H635" s="260"/>
      <c r="I635" s="261"/>
      <c r="J635" s="261"/>
    </row>
    <row r="636" spans="1:10" ht="15">
      <c r="A636" s="217"/>
      <c r="B636" s="218"/>
      <c r="C636" s="218"/>
      <c r="D636" s="218"/>
      <c r="E636" s="218"/>
      <c r="F636" s="260"/>
      <c r="G636" s="224"/>
      <c r="H636" s="260"/>
      <c r="I636" s="261"/>
      <c r="J636" s="261"/>
    </row>
    <row r="637" spans="1:10" ht="15">
      <c r="A637" s="217"/>
      <c r="B637" s="218"/>
      <c r="C637" s="218"/>
      <c r="D637" s="218"/>
      <c r="E637" s="218"/>
      <c r="F637" s="260"/>
      <c r="G637" s="224"/>
      <c r="H637" s="260"/>
      <c r="I637" s="261"/>
      <c r="J637" s="261"/>
    </row>
    <row r="638" spans="1:10" ht="15">
      <c r="A638" s="217"/>
      <c r="B638" s="218"/>
      <c r="C638" s="218"/>
      <c r="D638" s="218"/>
      <c r="E638" s="218"/>
      <c r="F638" s="260"/>
      <c r="G638" s="224"/>
      <c r="H638" s="260"/>
      <c r="I638" s="261"/>
      <c r="J638" s="261"/>
    </row>
    <row r="639" spans="1:10" ht="15">
      <c r="A639" s="217"/>
      <c r="B639" s="218"/>
      <c r="C639" s="218"/>
      <c r="D639" s="218"/>
      <c r="E639" s="218"/>
      <c r="F639" s="260"/>
      <c r="G639" s="224"/>
      <c r="H639" s="260"/>
      <c r="I639" s="261"/>
      <c r="J639" s="261"/>
    </row>
    <row r="640" spans="1:10" ht="15">
      <c r="A640" s="217"/>
      <c r="B640" s="218"/>
      <c r="C640" s="218"/>
      <c r="D640" s="218"/>
      <c r="E640" s="218"/>
      <c r="F640" s="260"/>
      <c r="G640" s="224"/>
      <c r="H640" s="260"/>
      <c r="I640" s="261"/>
      <c r="J640" s="261"/>
    </row>
    <row r="641" spans="1:10" ht="15">
      <c r="A641" s="217"/>
      <c r="B641" s="218"/>
      <c r="C641" s="218"/>
      <c r="D641" s="218"/>
      <c r="E641" s="218"/>
      <c r="F641" s="260"/>
      <c r="G641" s="224"/>
      <c r="H641" s="260"/>
      <c r="I641" s="261"/>
      <c r="J641" s="261"/>
    </row>
    <row r="642" spans="1:10" ht="15">
      <c r="A642" s="217"/>
      <c r="B642" s="218"/>
      <c r="C642" s="218"/>
      <c r="D642" s="218"/>
      <c r="E642" s="218"/>
      <c r="F642" s="260"/>
      <c r="G642" s="224"/>
      <c r="H642" s="260"/>
      <c r="I642" s="261"/>
      <c r="J642" s="261"/>
    </row>
    <row r="643" spans="1:10" ht="15">
      <c r="A643" s="217"/>
      <c r="B643" s="218"/>
      <c r="C643" s="218"/>
      <c r="D643" s="218"/>
      <c r="E643" s="218"/>
      <c r="F643" s="260"/>
      <c r="G643" s="224"/>
      <c r="H643" s="260"/>
      <c r="I643" s="261"/>
      <c r="J643" s="261"/>
    </row>
    <row r="644" spans="1:10" ht="15">
      <c r="A644" s="217"/>
      <c r="B644" s="218"/>
      <c r="C644" s="218"/>
      <c r="D644" s="218"/>
      <c r="E644" s="218"/>
      <c r="F644" s="260"/>
      <c r="G644" s="224"/>
      <c r="H644" s="260"/>
      <c r="I644" s="261"/>
      <c r="J644" s="261"/>
    </row>
    <row r="645" spans="1:10" ht="15">
      <c r="A645" s="217"/>
      <c r="B645" s="218"/>
      <c r="C645" s="218"/>
      <c r="D645" s="218"/>
      <c r="E645" s="218"/>
      <c r="F645" s="260"/>
      <c r="G645" s="224"/>
      <c r="H645" s="260"/>
      <c r="I645" s="261"/>
      <c r="J645" s="261"/>
    </row>
    <row r="646" spans="1:10" ht="15">
      <c r="A646" s="217"/>
      <c r="B646" s="218"/>
      <c r="C646" s="218"/>
      <c r="D646" s="218"/>
      <c r="E646" s="218"/>
      <c r="F646" s="260"/>
      <c r="G646" s="224"/>
      <c r="H646" s="260"/>
      <c r="I646" s="261"/>
      <c r="J646" s="261"/>
    </row>
    <row r="647" spans="1:10" ht="15">
      <c r="A647" s="217"/>
      <c r="B647" s="218"/>
      <c r="C647" s="218"/>
      <c r="D647" s="218"/>
      <c r="E647" s="218"/>
      <c r="F647" s="260"/>
      <c r="G647" s="224"/>
      <c r="H647" s="260"/>
      <c r="I647" s="261"/>
      <c r="J647" s="261"/>
    </row>
    <row r="648" spans="1:10" ht="15">
      <c r="A648" s="217"/>
      <c r="B648" s="218"/>
      <c r="C648" s="218"/>
      <c r="D648" s="218"/>
      <c r="E648" s="218"/>
      <c r="F648" s="260"/>
      <c r="G648" s="224"/>
      <c r="H648" s="260"/>
      <c r="I648" s="261"/>
      <c r="J648" s="261"/>
    </row>
    <row r="649" spans="1:10" ht="15">
      <c r="A649" s="217"/>
      <c r="B649" s="218"/>
      <c r="C649" s="218"/>
      <c r="D649" s="218"/>
      <c r="E649" s="218"/>
      <c r="F649" s="260"/>
      <c r="G649" s="224"/>
      <c r="H649" s="260"/>
      <c r="I649" s="261"/>
      <c r="J649" s="261"/>
    </row>
    <row r="650" spans="1:10" ht="15">
      <c r="A650" s="217"/>
      <c r="B650" s="218"/>
      <c r="C650" s="218"/>
      <c r="D650" s="218"/>
      <c r="E650" s="218"/>
      <c r="F650" s="260"/>
      <c r="G650" s="224"/>
      <c r="H650" s="260"/>
      <c r="I650" s="261"/>
      <c r="J650" s="261"/>
    </row>
    <row r="651" spans="1:10" ht="15">
      <c r="A651" s="217"/>
      <c r="B651" s="218"/>
      <c r="C651" s="218"/>
      <c r="D651" s="218"/>
      <c r="E651" s="218"/>
      <c r="F651" s="260"/>
      <c r="G651" s="224"/>
      <c r="H651" s="260"/>
      <c r="I651" s="261"/>
      <c r="J651" s="261"/>
    </row>
    <row r="652" spans="1:10" ht="15">
      <c r="A652" s="217"/>
      <c r="B652" s="218"/>
      <c r="C652" s="218"/>
      <c r="D652" s="218"/>
      <c r="E652" s="218"/>
      <c r="F652" s="260"/>
      <c r="G652" s="224"/>
      <c r="H652" s="260"/>
      <c r="I652" s="261"/>
      <c r="J652" s="261"/>
    </row>
    <row r="653" spans="1:10" ht="15">
      <c r="A653" s="217"/>
      <c r="B653" s="218"/>
      <c r="C653" s="218"/>
      <c r="D653" s="218"/>
      <c r="E653" s="218"/>
      <c r="F653" s="260"/>
      <c r="G653" s="224"/>
      <c r="H653" s="260"/>
      <c r="I653" s="261"/>
      <c r="J653" s="261"/>
    </row>
    <row r="654" spans="1:10" ht="15">
      <c r="A654" s="217"/>
      <c r="B654" s="218"/>
      <c r="C654" s="218"/>
      <c r="D654" s="218"/>
      <c r="E654" s="218"/>
      <c r="F654" s="260"/>
      <c r="G654" s="224"/>
      <c r="H654" s="260"/>
      <c r="I654" s="261"/>
      <c r="J654" s="261"/>
    </row>
    <row r="655" spans="1:10" ht="15">
      <c r="A655" s="217"/>
      <c r="B655" s="218"/>
      <c r="C655" s="218"/>
      <c r="D655" s="218"/>
      <c r="E655" s="218"/>
      <c r="F655" s="260"/>
      <c r="G655" s="224"/>
      <c r="H655" s="260"/>
      <c r="I655" s="261"/>
      <c r="J655" s="261"/>
    </row>
    <row r="656" spans="1:10" ht="15">
      <c r="A656" s="217"/>
      <c r="B656" s="218"/>
      <c r="C656" s="218"/>
      <c r="D656" s="218"/>
      <c r="E656" s="218"/>
      <c r="F656" s="260"/>
      <c r="G656" s="224"/>
      <c r="H656" s="260"/>
      <c r="I656" s="261"/>
      <c r="J656" s="261"/>
    </row>
    <row r="657" spans="1:10" ht="15">
      <c r="A657" s="217"/>
      <c r="B657" s="218"/>
      <c r="C657" s="218"/>
      <c r="D657" s="218"/>
      <c r="E657" s="218"/>
      <c r="F657" s="260"/>
      <c r="G657" s="224"/>
      <c r="H657" s="260"/>
      <c r="I657" s="261"/>
      <c r="J657" s="261"/>
    </row>
    <row r="658" spans="1:10" ht="15">
      <c r="A658" s="217"/>
      <c r="B658" s="218"/>
      <c r="C658" s="218"/>
      <c r="D658" s="218"/>
      <c r="E658" s="218"/>
      <c r="F658" s="260"/>
      <c r="G658" s="224"/>
      <c r="H658" s="260"/>
      <c r="I658" s="261"/>
      <c r="J658" s="261"/>
    </row>
    <row r="659" spans="1:10" ht="15">
      <c r="A659" s="217"/>
      <c r="B659" s="218"/>
      <c r="C659" s="218"/>
      <c r="D659" s="218"/>
      <c r="E659" s="218"/>
      <c r="F659" s="260"/>
      <c r="G659" s="224"/>
      <c r="H659" s="260"/>
      <c r="I659" s="261"/>
      <c r="J659" s="261"/>
    </row>
    <row r="660" spans="1:10" ht="15">
      <c r="A660" s="217"/>
      <c r="B660" s="218"/>
      <c r="C660" s="218"/>
      <c r="D660" s="218"/>
      <c r="E660" s="218"/>
      <c r="F660" s="260"/>
      <c r="G660" s="224"/>
      <c r="H660" s="260"/>
      <c r="I660" s="261"/>
      <c r="J660" s="261"/>
    </row>
    <row r="661" spans="1:10" ht="15">
      <c r="A661" s="217"/>
      <c r="B661" s="218"/>
      <c r="C661" s="218"/>
      <c r="D661" s="218"/>
      <c r="E661" s="218"/>
      <c r="F661" s="260"/>
      <c r="G661" s="224"/>
      <c r="H661" s="260"/>
      <c r="I661" s="261"/>
      <c r="J661" s="261"/>
    </row>
    <row r="662" spans="1:10" ht="15">
      <c r="A662" s="217"/>
      <c r="B662" s="218"/>
      <c r="C662" s="218"/>
      <c r="D662" s="218"/>
      <c r="E662" s="218"/>
      <c r="F662" s="260"/>
      <c r="G662" s="224"/>
      <c r="H662" s="260"/>
      <c r="I662" s="261"/>
      <c r="J662" s="261"/>
    </row>
    <row r="663" spans="1:10" ht="15">
      <c r="A663" s="217"/>
      <c r="B663" s="218"/>
      <c r="C663" s="218"/>
      <c r="D663" s="218"/>
      <c r="E663" s="218"/>
      <c r="F663" s="260"/>
      <c r="G663" s="224"/>
      <c r="H663" s="260"/>
      <c r="I663" s="261"/>
      <c r="J663" s="261"/>
    </row>
    <row r="664" spans="1:10" ht="15">
      <c r="A664" s="217"/>
      <c r="B664" s="218"/>
      <c r="C664" s="218"/>
      <c r="D664" s="218"/>
      <c r="E664" s="218"/>
      <c r="F664" s="260"/>
      <c r="G664" s="224"/>
      <c r="H664" s="260"/>
      <c r="I664" s="261"/>
      <c r="J664" s="261"/>
    </row>
    <row r="665" spans="1:10" ht="15">
      <c r="A665" s="217"/>
      <c r="B665" s="218"/>
      <c r="C665" s="218"/>
      <c r="D665" s="218"/>
      <c r="E665" s="218"/>
      <c r="F665" s="260"/>
      <c r="G665" s="224"/>
      <c r="H665" s="260"/>
      <c r="I665" s="261"/>
      <c r="J665" s="261"/>
    </row>
    <row r="666" spans="1:10" ht="15">
      <c r="A666" s="217"/>
      <c r="B666" s="218"/>
      <c r="C666" s="218"/>
      <c r="D666" s="218"/>
      <c r="E666" s="218"/>
      <c r="F666" s="260"/>
      <c r="G666" s="224"/>
      <c r="H666" s="260"/>
      <c r="I666" s="261"/>
      <c r="J666" s="261"/>
    </row>
    <row r="667" spans="1:10" ht="15">
      <c r="A667" s="217"/>
      <c r="B667" s="218"/>
      <c r="C667" s="218"/>
      <c r="D667" s="218"/>
      <c r="E667" s="218"/>
      <c r="F667" s="260"/>
      <c r="G667" s="224"/>
      <c r="H667" s="260"/>
      <c r="I667" s="261"/>
      <c r="J667" s="261"/>
    </row>
    <row r="668" spans="1:10" ht="15">
      <c r="A668" s="217"/>
      <c r="B668" s="218"/>
      <c r="C668" s="218"/>
      <c r="D668" s="218"/>
      <c r="E668" s="218"/>
      <c r="F668" s="260"/>
      <c r="G668" s="224"/>
      <c r="H668" s="260"/>
      <c r="I668" s="261"/>
      <c r="J668" s="261"/>
    </row>
    <row r="669" spans="1:10" ht="15">
      <c r="A669" s="217"/>
      <c r="B669" s="218"/>
      <c r="C669" s="218"/>
      <c r="D669" s="218"/>
      <c r="E669" s="218"/>
      <c r="F669" s="260"/>
      <c r="G669" s="224"/>
      <c r="H669" s="260"/>
      <c r="I669" s="261"/>
      <c r="J669" s="261"/>
    </row>
    <row r="670" spans="1:10" ht="15">
      <c r="A670" s="217"/>
      <c r="B670" s="218"/>
      <c r="C670" s="218"/>
      <c r="D670" s="218"/>
      <c r="E670" s="218"/>
      <c r="F670" s="260"/>
      <c r="G670" s="224"/>
      <c r="H670" s="260"/>
      <c r="I670" s="261"/>
      <c r="J670" s="261"/>
    </row>
    <row r="671" spans="1:10" ht="15">
      <c r="A671" s="217"/>
      <c r="B671" s="218"/>
      <c r="C671" s="218"/>
      <c r="D671" s="218"/>
      <c r="E671" s="218"/>
      <c r="F671" s="260"/>
      <c r="G671" s="224"/>
      <c r="H671" s="260"/>
      <c r="I671" s="261"/>
      <c r="J671" s="261"/>
    </row>
    <row r="672" spans="1:10" ht="15">
      <c r="A672" s="217"/>
      <c r="B672" s="218"/>
      <c r="C672" s="218"/>
      <c r="D672" s="218"/>
      <c r="E672" s="218"/>
      <c r="F672" s="260"/>
      <c r="G672" s="224"/>
      <c r="H672" s="260"/>
      <c r="I672" s="261"/>
      <c r="J672" s="261"/>
    </row>
    <row r="673" spans="1:10" ht="15">
      <c r="A673" s="217"/>
      <c r="B673" s="218"/>
      <c r="C673" s="218"/>
      <c r="D673" s="218"/>
      <c r="E673" s="218"/>
      <c r="F673" s="260"/>
      <c r="G673" s="224"/>
      <c r="H673" s="260"/>
      <c r="I673" s="261"/>
      <c r="J673" s="261"/>
    </row>
    <row r="674" spans="1:10" ht="15">
      <c r="A674" s="217"/>
      <c r="B674" s="218"/>
      <c r="C674" s="218"/>
      <c r="D674" s="218"/>
      <c r="E674" s="218"/>
      <c r="F674" s="260"/>
      <c r="G674" s="224"/>
      <c r="H674" s="260"/>
      <c r="I674" s="261"/>
      <c r="J674" s="261"/>
    </row>
    <row r="675" spans="1:10" ht="15">
      <c r="A675" s="217"/>
      <c r="B675" s="218"/>
      <c r="C675" s="218"/>
      <c r="D675" s="218"/>
      <c r="E675" s="218"/>
      <c r="F675" s="260"/>
      <c r="G675" s="224"/>
      <c r="H675" s="260"/>
      <c r="I675" s="261"/>
      <c r="J675" s="261"/>
    </row>
    <row r="676" spans="1:10" ht="15">
      <c r="A676" s="217"/>
      <c r="B676" s="218"/>
      <c r="C676" s="218"/>
      <c r="D676" s="218"/>
      <c r="E676" s="218"/>
      <c r="F676" s="260"/>
      <c r="G676" s="224"/>
      <c r="H676" s="260"/>
      <c r="I676" s="261"/>
      <c r="J676" s="261"/>
    </row>
    <row r="677" spans="1:10" ht="15">
      <c r="A677" s="217"/>
      <c r="B677" s="218"/>
      <c r="C677" s="218"/>
      <c r="D677" s="218"/>
      <c r="E677" s="218"/>
      <c r="F677" s="260"/>
      <c r="G677" s="224"/>
      <c r="H677" s="260"/>
      <c r="I677" s="261"/>
      <c r="J677" s="261"/>
    </row>
    <row r="678" spans="1:10" ht="15">
      <c r="A678" s="217"/>
      <c r="B678" s="218"/>
      <c r="C678" s="218"/>
      <c r="D678" s="218"/>
      <c r="E678" s="218"/>
      <c r="F678" s="260"/>
      <c r="G678" s="224"/>
      <c r="H678" s="260"/>
      <c r="I678" s="261"/>
      <c r="J678" s="261"/>
    </row>
    <row r="679" spans="1:10" ht="15">
      <c r="A679" s="217"/>
      <c r="B679" s="218"/>
      <c r="C679" s="218"/>
      <c r="D679" s="218"/>
      <c r="E679" s="218"/>
      <c r="F679" s="260"/>
      <c r="G679" s="224"/>
      <c r="H679" s="260"/>
      <c r="I679" s="261"/>
      <c r="J679" s="261"/>
    </row>
    <row r="680" spans="1:10" ht="15">
      <c r="A680" s="217"/>
      <c r="B680" s="218"/>
      <c r="C680" s="218"/>
      <c r="D680" s="218"/>
      <c r="E680" s="218"/>
      <c r="F680" s="260"/>
      <c r="G680" s="224"/>
      <c r="H680" s="260"/>
      <c r="I680" s="261"/>
      <c r="J680" s="261"/>
    </row>
    <row r="681" spans="1:10" ht="15">
      <c r="A681" s="217"/>
      <c r="B681" s="218"/>
      <c r="C681" s="218"/>
      <c r="D681" s="218"/>
      <c r="E681" s="218"/>
      <c r="F681" s="260"/>
      <c r="G681" s="224"/>
      <c r="H681" s="260"/>
      <c r="I681" s="261"/>
      <c r="J681" s="261"/>
    </row>
    <row r="682" spans="1:10" ht="15">
      <c r="A682" s="217"/>
      <c r="B682" s="218"/>
      <c r="C682" s="218"/>
      <c r="D682" s="218"/>
      <c r="E682" s="218"/>
      <c r="F682" s="260"/>
      <c r="G682" s="224"/>
      <c r="H682" s="260"/>
      <c r="I682" s="261"/>
      <c r="J682" s="261"/>
    </row>
    <row r="683" spans="1:10" ht="15">
      <c r="A683" s="217"/>
      <c r="B683" s="218"/>
      <c r="C683" s="218"/>
      <c r="D683" s="218"/>
      <c r="E683" s="218"/>
      <c r="F683" s="260"/>
      <c r="G683" s="224"/>
      <c r="H683" s="260"/>
      <c r="I683" s="261"/>
      <c r="J683" s="261"/>
    </row>
    <row r="684" spans="1:10" ht="15">
      <c r="A684" s="217"/>
      <c r="B684" s="218"/>
      <c r="C684" s="218"/>
      <c r="D684" s="218"/>
      <c r="E684" s="218"/>
      <c r="F684" s="260"/>
      <c r="G684" s="224"/>
      <c r="H684" s="260"/>
      <c r="I684" s="261"/>
      <c r="J684" s="261"/>
    </row>
    <row r="685" spans="1:10" ht="15">
      <c r="A685" s="217"/>
      <c r="B685" s="218"/>
      <c r="C685" s="218"/>
      <c r="D685" s="218"/>
      <c r="E685" s="218"/>
      <c r="F685" s="260"/>
      <c r="G685" s="224"/>
      <c r="H685" s="260"/>
      <c r="I685" s="261"/>
      <c r="J685" s="261"/>
    </row>
    <row r="686" spans="1:10" ht="15">
      <c r="A686" s="217"/>
      <c r="B686" s="218"/>
      <c r="C686" s="218"/>
      <c r="D686" s="218"/>
      <c r="E686" s="218"/>
      <c r="F686" s="260"/>
      <c r="G686" s="224"/>
      <c r="H686" s="260"/>
      <c r="I686" s="261"/>
      <c r="J686" s="261"/>
    </row>
    <row r="687" spans="1:10" ht="15">
      <c r="A687" s="217"/>
      <c r="B687" s="218"/>
      <c r="C687" s="218"/>
      <c r="D687" s="218"/>
      <c r="E687" s="218"/>
      <c r="F687" s="260"/>
      <c r="G687" s="224"/>
      <c r="H687" s="260"/>
      <c r="I687" s="261"/>
      <c r="J687" s="261"/>
    </row>
    <row r="688" spans="1:10" ht="15">
      <c r="A688" s="217"/>
      <c r="B688" s="218"/>
      <c r="C688" s="218"/>
      <c r="D688" s="218"/>
      <c r="E688" s="218"/>
      <c r="F688" s="260"/>
      <c r="G688" s="224"/>
      <c r="H688" s="260"/>
      <c r="I688" s="261"/>
      <c r="J688" s="261"/>
    </row>
    <row r="689" spans="1:10" ht="15">
      <c r="A689" s="217"/>
      <c r="B689" s="218"/>
      <c r="C689" s="218"/>
      <c r="D689" s="218"/>
      <c r="E689" s="218"/>
      <c r="F689" s="260"/>
      <c r="G689" s="224"/>
      <c r="H689" s="260"/>
      <c r="I689" s="261"/>
      <c r="J689" s="261"/>
    </row>
    <row r="690" spans="1:10" ht="15">
      <c r="A690" s="217"/>
      <c r="B690" s="218"/>
      <c r="C690" s="218"/>
      <c r="D690" s="218"/>
      <c r="E690" s="218"/>
      <c r="F690" s="260"/>
      <c r="G690" s="224"/>
      <c r="H690" s="260"/>
      <c r="I690" s="261"/>
      <c r="J690" s="261"/>
    </row>
    <row r="691" spans="1:10" ht="15">
      <c r="A691" s="217"/>
      <c r="B691" s="218"/>
      <c r="C691" s="218"/>
      <c r="D691" s="218"/>
      <c r="E691" s="218"/>
      <c r="F691" s="260"/>
      <c r="G691" s="224"/>
      <c r="H691" s="260"/>
      <c r="I691" s="261"/>
      <c r="J691" s="261"/>
    </row>
    <row r="692" spans="1:10" ht="15">
      <c r="A692" s="217"/>
      <c r="B692" s="218"/>
      <c r="C692" s="218"/>
      <c r="D692" s="218"/>
      <c r="E692" s="218"/>
      <c r="F692" s="260"/>
      <c r="G692" s="224"/>
      <c r="H692" s="260"/>
      <c r="I692" s="261"/>
      <c r="J692" s="261"/>
    </row>
    <row r="693" spans="1:10" ht="15">
      <c r="A693" s="217"/>
      <c r="B693" s="218"/>
      <c r="C693" s="218"/>
      <c r="D693" s="218"/>
      <c r="E693" s="218"/>
      <c r="F693" s="260"/>
      <c r="G693" s="224"/>
      <c r="H693" s="260"/>
      <c r="I693" s="261"/>
      <c r="J693" s="261"/>
    </row>
    <row r="694" spans="1:10" ht="15">
      <c r="A694" s="217"/>
      <c r="B694" s="218"/>
      <c r="C694" s="218"/>
      <c r="D694" s="218"/>
      <c r="E694" s="218"/>
      <c r="F694" s="260"/>
      <c r="G694" s="224"/>
      <c r="H694" s="260"/>
      <c r="I694" s="261"/>
      <c r="J694" s="261"/>
    </row>
    <row r="695" spans="1:10" ht="15">
      <c r="A695" s="217"/>
      <c r="B695" s="218"/>
      <c r="C695" s="218"/>
      <c r="D695" s="218"/>
      <c r="E695" s="218"/>
      <c r="F695" s="260"/>
      <c r="G695" s="224"/>
      <c r="H695" s="260"/>
      <c r="I695" s="261"/>
      <c r="J695" s="261"/>
    </row>
    <row r="696" spans="1:10" ht="15">
      <c r="A696" s="217"/>
      <c r="B696" s="218"/>
      <c r="C696" s="218"/>
      <c r="D696" s="218"/>
      <c r="E696" s="218"/>
      <c r="F696" s="260"/>
      <c r="G696" s="224"/>
      <c r="H696" s="260"/>
      <c r="I696" s="261"/>
      <c r="J696" s="261"/>
    </row>
    <row r="697" spans="1:10" ht="15">
      <c r="A697" s="217"/>
      <c r="B697" s="218"/>
      <c r="C697" s="218"/>
      <c r="D697" s="218"/>
      <c r="E697" s="218"/>
      <c r="F697" s="260"/>
      <c r="G697" s="224"/>
      <c r="H697" s="260"/>
      <c r="I697" s="261"/>
      <c r="J697" s="261"/>
    </row>
    <row r="698" spans="1:10" ht="15">
      <c r="A698" s="217"/>
      <c r="B698" s="218"/>
      <c r="C698" s="218"/>
      <c r="D698" s="218"/>
      <c r="E698" s="218"/>
      <c r="F698" s="260"/>
      <c r="G698" s="224"/>
      <c r="H698" s="260"/>
      <c r="I698" s="261"/>
      <c r="J698" s="261"/>
    </row>
    <row r="699" spans="1:10" ht="15">
      <c r="A699" s="217"/>
      <c r="B699" s="218"/>
      <c r="C699" s="218"/>
      <c r="D699" s="218"/>
      <c r="E699" s="218"/>
      <c r="F699" s="260"/>
      <c r="G699" s="224"/>
      <c r="H699" s="260"/>
      <c r="I699" s="261"/>
      <c r="J699" s="261"/>
    </row>
    <row r="700" spans="1:10" ht="15">
      <c r="A700" s="217"/>
      <c r="B700" s="218"/>
      <c r="C700" s="218"/>
      <c r="D700" s="218"/>
      <c r="E700" s="218"/>
      <c r="F700" s="260"/>
      <c r="G700" s="224"/>
      <c r="H700" s="260"/>
      <c r="I700" s="261"/>
      <c r="J700" s="261"/>
    </row>
    <row r="701" spans="1:10" ht="15">
      <c r="A701" s="217"/>
      <c r="B701" s="218"/>
      <c r="C701" s="218"/>
      <c r="D701" s="218"/>
      <c r="E701" s="218"/>
      <c r="F701" s="260"/>
      <c r="G701" s="224"/>
      <c r="H701" s="260"/>
      <c r="I701" s="261"/>
      <c r="J701" s="261"/>
    </row>
    <row r="702" spans="1:10" ht="15">
      <c r="A702" s="217"/>
      <c r="B702" s="218"/>
      <c r="C702" s="218"/>
      <c r="D702" s="218"/>
      <c r="E702" s="218"/>
      <c r="F702" s="260"/>
      <c r="G702" s="224"/>
      <c r="H702" s="260"/>
      <c r="I702" s="261"/>
      <c r="J702" s="261"/>
    </row>
    <row r="703" spans="1:10" ht="15">
      <c r="A703" s="217"/>
      <c r="B703" s="218"/>
      <c r="C703" s="218"/>
      <c r="D703" s="218"/>
      <c r="E703" s="218"/>
      <c r="F703" s="260"/>
      <c r="G703" s="224"/>
      <c r="H703" s="260"/>
      <c r="I703" s="261"/>
      <c r="J703" s="261"/>
    </row>
    <row r="704" spans="1:10" ht="15">
      <c r="A704" s="217"/>
      <c r="B704" s="218"/>
      <c r="C704" s="218"/>
      <c r="D704" s="218"/>
      <c r="E704" s="218"/>
      <c r="F704" s="260"/>
      <c r="G704" s="224"/>
      <c r="H704" s="260"/>
      <c r="I704" s="261"/>
      <c r="J704" s="261"/>
    </row>
    <row r="705" spans="1:10" ht="15">
      <c r="A705" s="217"/>
      <c r="B705" s="218"/>
      <c r="C705" s="218"/>
      <c r="D705" s="218"/>
      <c r="E705" s="218"/>
      <c r="F705" s="260"/>
      <c r="G705" s="224"/>
      <c r="H705" s="260"/>
      <c r="I705" s="261"/>
      <c r="J705" s="261"/>
    </row>
    <row r="706" spans="1:10" ht="15">
      <c r="A706" s="217"/>
      <c r="B706" s="218"/>
      <c r="C706" s="218"/>
      <c r="D706" s="218"/>
      <c r="E706" s="218"/>
      <c r="F706" s="260"/>
      <c r="G706" s="224"/>
      <c r="H706" s="260"/>
      <c r="I706" s="261"/>
      <c r="J706" s="261"/>
    </row>
    <row r="707" spans="1:10" ht="15">
      <c r="A707" s="217"/>
      <c r="B707" s="218"/>
      <c r="C707" s="218"/>
      <c r="D707" s="218"/>
      <c r="E707" s="218"/>
      <c r="F707" s="260"/>
      <c r="G707" s="224"/>
      <c r="H707" s="260"/>
      <c r="I707" s="261"/>
      <c r="J707" s="261"/>
    </row>
    <row r="708" spans="1:10" ht="15">
      <c r="A708" s="217"/>
      <c r="B708" s="218"/>
      <c r="C708" s="218"/>
      <c r="D708" s="218"/>
      <c r="E708" s="218"/>
      <c r="F708" s="260"/>
      <c r="G708" s="224"/>
      <c r="H708" s="260"/>
      <c r="I708" s="261"/>
      <c r="J708" s="261"/>
    </row>
    <row r="709" spans="1:10" ht="15">
      <c r="A709" s="217"/>
      <c r="B709" s="218"/>
      <c r="C709" s="218"/>
      <c r="D709" s="218"/>
      <c r="E709" s="218"/>
      <c r="F709" s="260"/>
      <c r="G709" s="224"/>
      <c r="H709" s="260"/>
      <c r="I709" s="261"/>
      <c r="J709" s="261"/>
    </row>
    <row r="710" spans="1:10" ht="15">
      <c r="A710" s="217"/>
      <c r="B710" s="218"/>
      <c r="C710" s="218"/>
      <c r="D710" s="218"/>
      <c r="E710" s="218"/>
      <c r="F710" s="260"/>
      <c r="G710" s="224"/>
      <c r="H710" s="260"/>
      <c r="I710" s="261"/>
      <c r="J710" s="261"/>
    </row>
    <row r="711" spans="1:10" ht="15">
      <c r="A711" s="217"/>
      <c r="B711" s="218"/>
      <c r="C711" s="218"/>
      <c r="D711" s="218"/>
      <c r="E711" s="218"/>
      <c r="F711" s="260"/>
      <c r="G711" s="224"/>
      <c r="H711" s="260"/>
      <c r="I711" s="261"/>
      <c r="J711" s="261"/>
    </row>
    <row r="712" spans="1:10" ht="15">
      <c r="A712" s="217"/>
      <c r="B712" s="218"/>
      <c r="C712" s="218"/>
      <c r="D712" s="218"/>
      <c r="E712" s="218"/>
      <c r="F712" s="260"/>
      <c r="G712" s="224"/>
      <c r="H712" s="260"/>
      <c r="I712" s="261"/>
      <c r="J712" s="261"/>
    </row>
    <row r="713" spans="1:10" ht="15">
      <c r="A713" s="217"/>
      <c r="B713" s="218"/>
      <c r="C713" s="218"/>
      <c r="D713" s="218"/>
      <c r="E713" s="218"/>
      <c r="F713" s="260"/>
      <c r="G713" s="224"/>
      <c r="H713" s="260"/>
      <c r="I713" s="261"/>
      <c r="J713" s="261"/>
    </row>
    <row r="714" spans="1:10" ht="15">
      <c r="A714" s="217"/>
      <c r="B714" s="218"/>
      <c r="C714" s="218"/>
      <c r="D714" s="218"/>
      <c r="E714" s="218"/>
      <c r="F714" s="260"/>
      <c r="G714" s="224"/>
      <c r="H714" s="260"/>
      <c r="I714" s="261"/>
      <c r="J714" s="261"/>
    </row>
    <row r="715" spans="1:10" ht="15">
      <c r="A715" s="217"/>
      <c r="B715" s="218"/>
      <c r="C715" s="218"/>
      <c r="D715" s="218"/>
      <c r="E715" s="218"/>
      <c r="F715" s="260"/>
      <c r="G715" s="224"/>
      <c r="H715" s="260"/>
      <c r="I715" s="261"/>
      <c r="J715" s="261"/>
    </row>
    <row r="716" spans="1:10" ht="15">
      <c r="A716" s="217"/>
      <c r="B716" s="218"/>
      <c r="C716" s="218"/>
      <c r="D716" s="218"/>
      <c r="E716" s="218"/>
      <c r="F716" s="260"/>
      <c r="G716" s="224"/>
      <c r="H716" s="260"/>
      <c r="I716" s="261"/>
      <c r="J716" s="261"/>
    </row>
    <row r="717" spans="1:10" ht="15">
      <c r="A717" s="217"/>
      <c r="B717" s="218"/>
      <c r="C717" s="218"/>
      <c r="D717" s="218"/>
      <c r="E717" s="218"/>
      <c r="F717" s="260"/>
      <c r="G717" s="224"/>
      <c r="H717" s="260"/>
      <c r="I717" s="261"/>
      <c r="J717" s="261"/>
    </row>
    <row r="718" spans="1:10" ht="15">
      <c r="A718" s="217"/>
      <c r="B718" s="218"/>
      <c r="C718" s="218"/>
      <c r="D718" s="218"/>
      <c r="E718" s="218"/>
      <c r="F718" s="260"/>
      <c r="G718" s="224"/>
      <c r="H718" s="260"/>
      <c r="I718" s="261"/>
      <c r="J718" s="261"/>
    </row>
    <row r="719" spans="1:10" ht="15">
      <c r="A719" s="217"/>
      <c r="B719" s="218"/>
      <c r="C719" s="218"/>
      <c r="D719" s="218"/>
      <c r="E719" s="218"/>
      <c r="F719" s="260"/>
      <c r="G719" s="224"/>
      <c r="H719" s="260"/>
      <c r="I719" s="261"/>
      <c r="J719" s="261"/>
    </row>
    <row r="720" spans="1:10" ht="15">
      <c r="A720" s="217"/>
      <c r="B720" s="218"/>
      <c r="C720" s="218"/>
      <c r="D720" s="218"/>
      <c r="E720" s="218"/>
      <c r="F720" s="260"/>
      <c r="G720" s="224"/>
      <c r="H720" s="260"/>
      <c r="I720" s="261"/>
      <c r="J720" s="261"/>
    </row>
    <row r="721" spans="1:10" ht="15">
      <c r="A721" s="217"/>
      <c r="B721" s="218"/>
      <c r="C721" s="218"/>
      <c r="D721" s="218"/>
      <c r="E721" s="218"/>
      <c r="F721" s="260"/>
      <c r="G721" s="224"/>
      <c r="H721" s="260"/>
      <c r="I721" s="261"/>
      <c r="J721" s="261"/>
    </row>
    <row r="722" spans="1:10" ht="15">
      <c r="A722" s="217"/>
      <c r="B722" s="218"/>
      <c r="C722" s="218"/>
      <c r="D722" s="218"/>
      <c r="E722" s="218"/>
      <c r="F722" s="260"/>
      <c r="G722" s="224"/>
      <c r="H722" s="260"/>
      <c r="I722" s="261"/>
      <c r="J722" s="261"/>
    </row>
    <row r="723" spans="1:10" ht="15">
      <c r="A723" s="217"/>
      <c r="B723" s="218"/>
      <c r="C723" s="218"/>
      <c r="D723" s="218"/>
      <c r="E723" s="218"/>
      <c r="F723" s="260"/>
      <c r="G723" s="224"/>
      <c r="H723" s="260"/>
      <c r="I723" s="261"/>
      <c r="J723" s="261"/>
    </row>
    <row r="724" spans="1:10" ht="15">
      <c r="A724" s="217"/>
      <c r="B724" s="218"/>
      <c r="C724" s="218"/>
      <c r="D724" s="218"/>
      <c r="E724" s="218"/>
      <c r="F724" s="260"/>
      <c r="G724" s="224"/>
      <c r="H724" s="260"/>
      <c r="I724" s="261"/>
      <c r="J724" s="261"/>
    </row>
    <row r="725" spans="1:10" ht="15">
      <c r="A725" s="217"/>
      <c r="B725" s="218"/>
      <c r="C725" s="218"/>
      <c r="D725" s="218"/>
      <c r="E725" s="218"/>
      <c r="F725" s="260"/>
      <c r="G725" s="224"/>
      <c r="H725" s="260"/>
      <c r="I725" s="261"/>
      <c r="J725" s="261"/>
    </row>
    <row r="726" spans="1:10" ht="15">
      <c r="A726" s="217"/>
      <c r="B726" s="218"/>
      <c r="C726" s="218"/>
      <c r="D726" s="218"/>
      <c r="E726" s="218"/>
      <c r="F726" s="260"/>
      <c r="G726" s="224"/>
      <c r="H726" s="260"/>
      <c r="I726" s="261"/>
      <c r="J726" s="261"/>
    </row>
    <row r="727" spans="1:10" ht="15">
      <c r="A727" s="217"/>
      <c r="B727" s="218"/>
      <c r="C727" s="218"/>
      <c r="D727" s="218"/>
      <c r="E727" s="218"/>
      <c r="F727" s="260"/>
      <c r="G727" s="224"/>
      <c r="H727" s="260"/>
      <c r="I727" s="261"/>
      <c r="J727" s="261"/>
    </row>
    <row r="728" spans="1:10" ht="15">
      <c r="A728" s="217"/>
      <c r="B728" s="218"/>
      <c r="C728" s="218"/>
      <c r="D728" s="218"/>
      <c r="E728" s="218"/>
      <c r="F728" s="260"/>
      <c r="G728" s="224"/>
      <c r="H728" s="260"/>
      <c r="I728" s="261"/>
      <c r="J728" s="261"/>
    </row>
    <row r="729" spans="1:10" ht="15">
      <c r="A729" s="217"/>
      <c r="B729" s="218"/>
      <c r="C729" s="218"/>
      <c r="D729" s="218"/>
      <c r="E729" s="218"/>
      <c r="F729" s="260"/>
      <c r="G729" s="224"/>
      <c r="H729" s="260"/>
      <c r="I729" s="261"/>
      <c r="J729" s="261"/>
    </row>
    <row r="730" spans="1:10" ht="15">
      <c r="A730" s="217"/>
      <c r="B730" s="218"/>
      <c r="C730" s="218"/>
      <c r="D730" s="218"/>
      <c r="E730" s="218"/>
      <c r="F730" s="260"/>
      <c r="G730" s="224"/>
      <c r="H730" s="260"/>
      <c r="I730" s="261"/>
      <c r="J730" s="261"/>
    </row>
    <row r="731" spans="1:10" ht="15">
      <c r="A731" s="217"/>
      <c r="B731" s="218"/>
      <c r="C731" s="218"/>
      <c r="D731" s="218"/>
      <c r="E731" s="218"/>
      <c r="F731" s="260"/>
      <c r="G731" s="224"/>
      <c r="H731" s="260"/>
      <c r="I731" s="261"/>
      <c r="J731" s="261"/>
    </row>
    <row r="732" spans="1:10" ht="15">
      <c r="A732" s="217"/>
      <c r="B732" s="218"/>
      <c r="C732" s="218"/>
      <c r="D732" s="218"/>
      <c r="E732" s="218"/>
      <c r="F732" s="260"/>
      <c r="G732" s="224"/>
      <c r="H732" s="260"/>
      <c r="I732" s="261"/>
      <c r="J732" s="261"/>
    </row>
    <row r="733" spans="1:10" ht="15">
      <c r="A733" s="217"/>
      <c r="B733" s="218"/>
      <c r="C733" s="218"/>
      <c r="D733" s="218"/>
      <c r="E733" s="218"/>
      <c r="F733" s="260"/>
      <c r="G733" s="224"/>
      <c r="H733" s="260"/>
      <c r="I733" s="261"/>
      <c r="J733" s="261"/>
    </row>
    <row r="734" spans="1:10" ht="15">
      <c r="A734" s="217"/>
      <c r="B734" s="218"/>
      <c r="C734" s="218"/>
      <c r="D734" s="218"/>
      <c r="E734" s="218"/>
      <c r="F734" s="260"/>
      <c r="G734" s="224"/>
      <c r="H734" s="260"/>
      <c r="I734" s="261"/>
      <c r="J734" s="261"/>
    </row>
    <row r="735" spans="1:10" ht="15">
      <c r="A735" s="217"/>
      <c r="B735" s="218"/>
      <c r="C735" s="218"/>
      <c r="D735" s="218"/>
      <c r="E735" s="218"/>
      <c r="F735" s="260"/>
      <c r="G735" s="224"/>
      <c r="H735" s="260"/>
      <c r="I735" s="261"/>
      <c r="J735" s="261"/>
    </row>
    <row r="736" spans="1:10" ht="15">
      <c r="A736" s="217"/>
      <c r="B736" s="218"/>
      <c r="C736" s="218"/>
      <c r="D736" s="218"/>
      <c r="E736" s="218"/>
      <c r="F736" s="260"/>
      <c r="G736" s="224"/>
      <c r="H736" s="260"/>
      <c r="I736" s="261"/>
      <c r="J736" s="261"/>
    </row>
    <row r="737" spans="1:10" ht="15">
      <c r="A737" s="217"/>
      <c r="B737" s="218"/>
      <c r="C737" s="218"/>
      <c r="D737" s="218"/>
      <c r="E737" s="218"/>
      <c r="F737" s="260"/>
      <c r="G737" s="224"/>
      <c r="H737" s="260"/>
      <c r="I737" s="261"/>
      <c r="J737" s="261"/>
    </row>
    <row r="738" spans="1:10" ht="15">
      <c r="A738" s="217"/>
      <c r="B738" s="218"/>
      <c r="C738" s="218"/>
      <c r="D738" s="218"/>
      <c r="E738" s="218"/>
      <c r="F738" s="260"/>
      <c r="G738" s="224"/>
      <c r="H738" s="260"/>
      <c r="I738" s="261"/>
      <c r="J738" s="261"/>
    </row>
    <row r="739" spans="1:10" ht="15">
      <c r="A739" s="217"/>
      <c r="B739" s="218"/>
      <c r="C739" s="218"/>
      <c r="D739" s="218"/>
      <c r="E739" s="218"/>
      <c r="F739" s="260"/>
      <c r="G739" s="224"/>
      <c r="H739" s="260"/>
      <c r="I739" s="261"/>
      <c r="J739" s="261"/>
    </row>
    <row r="740" spans="1:10" ht="15">
      <c r="A740" s="217"/>
      <c r="B740" s="218"/>
      <c r="C740" s="218"/>
      <c r="D740" s="218"/>
      <c r="E740" s="218"/>
      <c r="F740" s="260"/>
      <c r="G740" s="224"/>
      <c r="H740" s="260"/>
      <c r="I740" s="261"/>
      <c r="J740" s="261"/>
    </row>
    <row r="741" spans="1:10" ht="15">
      <c r="A741" s="217"/>
      <c r="B741" s="218"/>
      <c r="C741" s="218"/>
      <c r="D741" s="218"/>
      <c r="E741" s="218"/>
      <c r="F741" s="260"/>
      <c r="G741" s="224"/>
      <c r="H741" s="260"/>
      <c r="I741" s="261"/>
      <c r="J741" s="261"/>
    </row>
    <row r="742" spans="1:10" ht="15">
      <c r="A742" s="217"/>
      <c r="B742" s="218"/>
      <c r="C742" s="218"/>
      <c r="D742" s="218"/>
      <c r="E742" s="218"/>
      <c r="F742" s="260"/>
      <c r="G742" s="224"/>
      <c r="H742" s="260"/>
      <c r="I742" s="261"/>
      <c r="J742" s="261"/>
    </row>
    <row r="743" spans="1:10" ht="15">
      <c r="A743" s="217"/>
      <c r="B743" s="218"/>
      <c r="C743" s="218"/>
      <c r="D743" s="218"/>
      <c r="E743" s="218"/>
      <c r="F743" s="260"/>
      <c r="G743" s="224"/>
      <c r="H743" s="260"/>
      <c r="I743" s="261"/>
      <c r="J743" s="261"/>
    </row>
    <row r="744" spans="1:10" ht="15">
      <c r="A744" s="217"/>
      <c r="B744" s="218"/>
      <c r="C744" s="218"/>
      <c r="D744" s="218"/>
      <c r="E744" s="218"/>
      <c r="F744" s="260"/>
      <c r="G744" s="224"/>
      <c r="H744" s="260"/>
      <c r="I744" s="261"/>
      <c r="J744" s="261"/>
    </row>
    <row r="745" spans="1:10" ht="15">
      <c r="A745" s="217"/>
      <c r="B745" s="218"/>
      <c r="C745" s="218"/>
      <c r="D745" s="218"/>
      <c r="E745" s="218"/>
      <c r="F745" s="260"/>
      <c r="G745" s="224"/>
      <c r="H745" s="260"/>
      <c r="I745" s="261"/>
      <c r="J745" s="261"/>
    </row>
    <row r="746" spans="1:10" ht="15">
      <c r="A746" s="217"/>
      <c r="B746" s="218"/>
      <c r="C746" s="218"/>
      <c r="D746" s="218"/>
      <c r="E746" s="218"/>
      <c r="F746" s="260"/>
      <c r="G746" s="224"/>
      <c r="H746" s="260"/>
      <c r="I746" s="261"/>
      <c r="J746" s="261"/>
    </row>
    <row r="747" spans="1:10" ht="15">
      <c r="A747" s="217"/>
      <c r="B747" s="218"/>
      <c r="C747" s="218"/>
      <c r="D747" s="218"/>
      <c r="E747" s="218"/>
      <c r="F747" s="260"/>
      <c r="G747" s="224"/>
      <c r="H747" s="260"/>
      <c r="I747" s="261"/>
      <c r="J747" s="261"/>
    </row>
    <row r="748" spans="1:10" ht="15">
      <c r="A748" s="217"/>
      <c r="B748" s="218"/>
      <c r="C748" s="218"/>
      <c r="D748" s="218"/>
      <c r="E748" s="218"/>
      <c r="F748" s="260"/>
      <c r="G748" s="224"/>
      <c r="H748" s="260"/>
      <c r="I748" s="261"/>
      <c r="J748" s="261"/>
    </row>
    <row r="749" spans="1:10" ht="15">
      <c r="A749" s="217"/>
      <c r="B749" s="218"/>
      <c r="C749" s="218"/>
      <c r="D749" s="218"/>
      <c r="E749" s="218"/>
      <c r="F749" s="260"/>
      <c r="G749" s="224"/>
      <c r="H749" s="260"/>
      <c r="I749" s="261"/>
      <c r="J749" s="261"/>
    </row>
    <row r="750" spans="1:10" ht="15">
      <c r="A750" s="217"/>
      <c r="B750" s="218"/>
      <c r="C750" s="218"/>
      <c r="D750" s="218"/>
      <c r="E750" s="218"/>
      <c r="F750" s="260"/>
      <c r="G750" s="224"/>
      <c r="H750" s="260"/>
      <c r="I750" s="261"/>
      <c r="J750" s="261"/>
    </row>
    <row r="751" spans="1:10" ht="15">
      <c r="A751" s="217"/>
      <c r="B751" s="218"/>
      <c r="C751" s="218"/>
      <c r="D751" s="218"/>
      <c r="E751" s="218"/>
      <c r="F751" s="260"/>
      <c r="G751" s="224"/>
      <c r="H751" s="260"/>
      <c r="I751" s="261"/>
      <c r="J751" s="261"/>
    </row>
    <row r="752" spans="1:10" ht="15">
      <c r="A752" s="217"/>
      <c r="B752" s="218"/>
      <c r="C752" s="218"/>
      <c r="D752" s="218"/>
      <c r="E752" s="218"/>
      <c r="F752" s="260"/>
      <c r="G752" s="224"/>
      <c r="H752" s="260"/>
      <c r="I752" s="261"/>
      <c r="J752" s="261"/>
    </row>
    <row r="753" spans="1:10" ht="15">
      <c r="A753" s="217"/>
      <c r="B753" s="218"/>
      <c r="C753" s="218"/>
      <c r="D753" s="218"/>
      <c r="E753" s="218"/>
      <c r="F753" s="260"/>
      <c r="G753" s="224"/>
      <c r="H753" s="260"/>
      <c r="I753" s="261"/>
      <c r="J753" s="261"/>
    </row>
    <row r="754" spans="1:10" ht="15">
      <c r="A754" s="217"/>
      <c r="B754" s="218"/>
      <c r="C754" s="218"/>
      <c r="D754" s="218"/>
      <c r="E754" s="218"/>
      <c r="F754" s="260"/>
      <c r="G754" s="224"/>
      <c r="H754" s="260"/>
      <c r="I754" s="261"/>
      <c r="J754" s="261"/>
    </row>
    <row r="755" spans="1:10" ht="15">
      <c r="A755" s="217"/>
      <c r="B755" s="218"/>
      <c r="C755" s="218"/>
      <c r="D755" s="218"/>
      <c r="E755" s="218"/>
      <c r="F755" s="260"/>
      <c r="G755" s="224"/>
      <c r="H755" s="260"/>
      <c r="I755" s="261"/>
      <c r="J755" s="261"/>
    </row>
    <row r="756" spans="1:10" ht="15">
      <c r="A756" s="217"/>
      <c r="B756" s="218"/>
      <c r="C756" s="218"/>
      <c r="D756" s="218"/>
      <c r="E756" s="218"/>
      <c r="F756" s="260"/>
      <c r="G756" s="224"/>
      <c r="H756" s="260"/>
      <c r="I756" s="261"/>
      <c r="J756" s="261"/>
    </row>
    <row r="757" spans="1:10" ht="15">
      <c r="A757" s="217"/>
      <c r="B757" s="218"/>
      <c r="C757" s="218"/>
      <c r="D757" s="218"/>
      <c r="E757" s="218"/>
      <c r="F757" s="260"/>
      <c r="G757" s="224"/>
      <c r="H757" s="260"/>
      <c r="I757" s="261"/>
      <c r="J757" s="261"/>
    </row>
    <row r="758" spans="1:10" ht="15">
      <c r="A758" s="217"/>
      <c r="B758" s="218"/>
      <c r="C758" s="218"/>
      <c r="D758" s="218"/>
      <c r="E758" s="218"/>
      <c r="F758" s="260"/>
      <c r="G758" s="224"/>
      <c r="H758" s="260"/>
      <c r="I758" s="261"/>
      <c r="J758" s="261"/>
    </row>
    <row r="759" spans="1:10" ht="15">
      <c r="A759" s="217"/>
      <c r="B759" s="218"/>
      <c r="C759" s="218"/>
      <c r="D759" s="218"/>
      <c r="E759" s="218"/>
      <c r="F759" s="260"/>
      <c r="G759" s="224"/>
      <c r="H759" s="260"/>
      <c r="I759" s="261"/>
      <c r="J759" s="261"/>
    </row>
    <row r="760" spans="1:10" ht="15">
      <c r="A760" s="217"/>
      <c r="B760" s="218"/>
      <c r="C760" s="218"/>
      <c r="D760" s="218"/>
      <c r="E760" s="218"/>
      <c r="F760" s="260"/>
      <c r="G760" s="224"/>
      <c r="H760" s="260"/>
      <c r="I760" s="261"/>
      <c r="J760" s="261"/>
    </row>
    <row r="761" spans="1:10" ht="15">
      <c r="A761" s="217"/>
      <c r="B761" s="218"/>
      <c r="C761" s="218"/>
      <c r="D761" s="218"/>
      <c r="E761" s="218"/>
      <c r="F761" s="260"/>
      <c r="G761" s="224"/>
      <c r="H761" s="260"/>
      <c r="I761" s="261"/>
      <c r="J761" s="261"/>
    </row>
    <row r="762" spans="1:10" ht="15">
      <c r="A762" s="217"/>
      <c r="B762" s="218"/>
      <c r="C762" s="218"/>
      <c r="D762" s="218"/>
      <c r="E762" s="218"/>
      <c r="F762" s="260"/>
      <c r="G762" s="224"/>
      <c r="H762" s="260"/>
      <c r="I762" s="261"/>
      <c r="J762" s="261"/>
    </row>
    <row r="763" spans="1:10" ht="15">
      <c r="A763" s="217"/>
      <c r="B763" s="218"/>
      <c r="C763" s="218"/>
      <c r="D763" s="218"/>
      <c r="E763" s="218"/>
      <c r="F763" s="260"/>
      <c r="G763" s="224"/>
      <c r="H763" s="260"/>
      <c r="I763" s="261"/>
      <c r="J763" s="261"/>
    </row>
    <row r="764" spans="1:10" ht="15">
      <c r="A764" s="217"/>
      <c r="B764" s="218"/>
      <c r="C764" s="218"/>
      <c r="D764" s="218"/>
      <c r="E764" s="218"/>
      <c r="F764" s="260"/>
      <c r="G764" s="224"/>
      <c r="H764" s="260"/>
      <c r="I764" s="261"/>
      <c r="J764" s="261"/>
    </row>
    <row r="765" spans="1:10" ht="15">
      <c r="A765" s="217"/>
      <c r="B765" s="218"/>
      <c r="C765" s="218"/>
      <c r="D765" s="218"/>
      <c r="E765" s="218"/>
      <c r="F765" s="260"/>
      <c r="G765" s="224"/>
      <c r="H765" s="260"/>
      <c r="I765" s="261"/>
      <c r="J765" s="261"/>
    </row>
    <row r="766" spans="1:10" ht="15">
      <c r="A766" s="217"/>
      <c r="B766" s="218"/>
      <c r="C766" s="218"/>
      <c r="D766" s="218"/>
      <c r="E766" s="218"/>
      <c r="F766" s="260"/>
      <c r="G766" s="224"/>
      <c r="H766" s="260"/>
      <c r="I766" s="261"/>
      <c r="J766" s="261"/>
    </row>
    <row r="767" spans="1:10" ht="15">
      <c r="A767" s="217"/>
      <c r="B767" s="218"/>
      <c r="C767" s="218"/>
      <c r="D767" s="218"/>
      <c r="E767" s="218"/>
      <c r="F767" s="260"/>
      <c r="G767" s="224"/>
      <c r="H767" s="260"/>
      <c r="I767" s="261"/>
      <c r="J767" s="261"/>
    </row>
    <row r="768" spans="1:10" ht="15">
      <c r="A768" s="217"/>
      <c r="B768" s="218"/>
      <c r="C768" s="218"/>
      <c r="D768" s="218"/>
      <c r="E768" s="218"/>
      <c r="F768" s="260"/>
      <c r="G768" s="224"/>
      <c r="H768" s="260"/>
      <c r="I768" s="261"/>
      <c r="J768" s="261"/>
    </row>
    <row r="769" spans="1:10" ht="15">
      <c r="A769" s="217"/>
      <c r="B769" s="218"/>
      <c r="C769" s="218"/>
      <c r="D769" s="218"/>
      <c r="E769" s="218"/>
      <c r="F769" s="260"/>
      <c r="G769" s="224"/>
      <c r="H769" s="260"/>
      <c r="I769" s="261"/>
      <c r="J769" s="261"/>
    </row>
    <row r="770" spans="1:10" ht="15">
      <c r="A770" s="217"/>
      <c r="B770" s="218"/>
      <c r="C770" s="218"/>
      <c r="D770" s="218"/>
      <c r="E770" s="218"/>
      <c r="F770" s="260"/>
      <c r="G770" s="224"/>
      <c r="H770" s="260"/>
      <c r="I770" s="261"/>
      <c r="J770" s="261"/>
    </row>
    <row r="771" spans="1:10" ht="15">
      <c r="A771" s="217"/>
      <c r="B771" s="218"/>
      <c r="C771" s="218"/>
      <c r="D771" s="218"/>
      <c r="E771" s="218"/>
      <c r="F771" s="260"/>
      <c r="G771" s="224"/>
      <c r="H771" s="260"/>
      <c r="I771" s="261"/>
      <c r="J771" s="261"/>
    </row>
    <row r="772" spans="1:10" ht="15">
      <c r="A772" s="217"/>
      <c r="B772" s="218"/>
      <c r="C772" s="218"/>
      <c r="D772" s="218"/>
      <c r="E772" s="218"/>
      <c r="F772" s="260"/>
      <c r="G772" s="224"/>
      <c r="H772" s="260"/>
      <c r="I772" s="261"/>
      <c r="J772" s="261"/>
    </row>
    <row r="773" spans="1:10" ht="15">
      <c r="A773" s="217"/>
      <c r="B773" s="218"/>
      <c r="C773" s="218"/>
      <c r="D773" s="218"/>
      <c r="E773" s="218"/>
      <c r="F773" s="260"/>
      <c r="G773" s="224"/>
      <c r="H773" s="260"/>
      <c r="I773" s="261"/>
      <c r="J773" s="261"/>
    </row>
    <row r="774" spans="1:10" ht="15">
      <c r="A774" s="217"/>
      <c r="B774" s="218"/>
      <c r="C774" s="218"/>
      <c r="D774" s="218"/>
      <c r="E774" s="218"/>
      <c r="F774" s="260"/>
      <c r="G774" s="224"/>
      <c r="H774" s="260"/>
      <c r="I774" s="261"/>
      <c r="J774" s="261"/>
    </row>
    <row r="775" spans="1:10" ht="15">
      <c r="A775" s="217"/>
      <c r="B775" s="218"/>
      <c r="C775" s="218"/>
      <c r="D775" s="218"/>
      <c r="E775" s="218"/>
      <c r="F775" s="260"/>
      <c r="G775" s="224"/>
      <c r="H775" s="260"/>
      <c r="I775" s="261"/>
      <c r="J775" s="261"/>
    </row>
    <row r="776" spans="1:10" ht="15">
      <c r="A776" s="217"/>
      <c r="B776" s="218"/>
      <c r="C776" s="218"/>
      <c r="D776" s="218"/>
      <c r="E776" s="218"/>
      <c r="F776" s="260"/>
      <c r="G776" s="224"/>
      <c r="H776" s="260"/>
      <c r="I776" s="261"/>
      <c r="J776" s="261"/>
    </row>
    <row r="777" spans="1:10" ht="15">
      <c r="A777" s="217"/>
      <c r="B777" s="218"/>
      <c r="C777" s="218"/>
      <c r="D777" s="218"/>
      <c r="E777" s="218"/>
      <c r="F777" s="260"/>
      <c r="G777" s="224"/>
      <c r="H777" s="260"/>
      <c r="I777" s="261"/>
      <c r="J777" s="261"/>
    </row>
    <row r="778" spans="1:10" ht="15">
      <c r="A778" s="217"/>
      <c r="B778" s="218"/>
      <c r="C778" s="218"/>
      <c r="D778" s="218"/>
      <c r="E778" s="218"/>
      <c r="F778" s="260"/>
      <c r="G778" s="224"/>
      <c r="H778" s="260"/>
      <c r="I778" s="261"/>
      <c r="J778" s="261"/>
    </row>
    <row r="779" spans="1:10" ht="15">
      <c r="A779" s="217"/>
      <c r="B779" s="218"/>
      <c r="C779" s="218"/>
      <c r="D779" s="218"/>
      <c r="E779" s="218"/>
      <c r="F779" s="260"/>
      <c r="G779" s="224"/>
      <c r="H779" s="260"/>
      <c r="I779" s="261"/>
      <c r="J779" s="261"/>
    </row>
    <row r="780" spans="1:10" ht="15">
      <c r="A780" s="217"/>
      <c r="B780" s="218"/>
      <c r="C780" s="218"/>
      <c r="D780" s="218"/>
      <c r="E780" s="218"/>
      <c r="F780" s="260"/>
      <c r="G780" s="224"/>
      <c r="H780" s="260"/>
      <c r="I780" s="261"/>
      <c r="J780" s="261"/>
    </row>
    <row r="781" spans="1:10" ht="15">
      <c r="A781" s="217"/>
      <c r="B781" s="218"/>
      <c r="C781" s="218"/>
      <c r="D781" s="218"/>
      <c r="E781" s="218"/>
      <c r="F781" s="260"/>
      <c r="G781" s="224"/>
      <c r="H781" s="260"/>
      <c r="I781" s="261"/>
      <c r="J781" s="261"/>
    </row>
    <row r="782" spans="1:10" ht="15">
      <c r="A782" s="217"/>
      <c r="B782" s="218"/>
      <c r="C782" s="218"/>
      <c r="D782" s="218"/>
      <c r="E782" s="218"/>
      <c r="F782" s="260"/>
      <c r="G782" s="224"/>
      <c r="H782" s="260"/>
      <c r="I782" s="261"/>
      <c r="J782" s="261"/>
    </row>
    <row r="783" spans="1:10" ht="15">
      <c r="A783" s="217"/>
      <c r="B783" s="218"/>
      <c r="C783" s="218"/>
      <c r="D783" s="218"/>
      <c r="E783" s="218"/>
      <c r="F783" s="260"/>
      <c r="G783" s="224"/>
      <c r="H783" s="260"/>
      <c r="I783" s="261"/>
      <c r="J783" s="261"/>
    </row>
    <row r="784" spans="1:10" ht="15">
      <c r="A784" s="217"/>
      <c r="B784" s="218"/>
      <c r="C784" s="218"/>
      <c r="D784" s="218"/>
      <c r="E784" s="218"/>
      <c r="F784" s="260"/>
      <c r="G784" s="224"/>
      <c r="H784" s="260"/>
      <c r="I784" s="261"/>
      <c r="J784" s="261"/>
    </row>
    <row r="785" spans="1:10" ht="15">
      <c r="A785" s="217"/>
      <c r="B785" s="218"/>
      <c r="C785" s="218"/>
      <c r="D785" s="218"/>
      <c r="E785" s="218"/>
      <c r="F785" s="260"/>
      <c r="G785" s="224"/>
      <c r="H785" s="260"/>
      <c r="I785" s="261"/>
      <c r="J785" s="261"/>
    </row>
    <row r="786" spans="1:10" ht="15">
      <c r="A786" s="217"/>
      <c r="B786" s="218"/>
      <c r="C786" s="218"/>
      <c r="D786" s="218"/>
      <c r="E786" s="218"/>
      <c r="F786" s="260"/>
      <c r="G786" s="224"/>
      <c r="H786" s="260"/>
      <c r="I786" s="261"/>
      <c r="J786" s="261"/>
    </row>
    <row r="787" spans="1:10" ht="15">
      <c r="A787" s="217"/>
      <c r="B787" s="218"/>
      <c r="C787" s="218"/>
      <c r="D787" s="218"/>
      <c r="E787" s="218"/>
      <c r="F787" s="260"/>
      <c r="G787" s="224"/>
      <c r="H787" s="260"/>
      <c r="I787" s="261"/>
      <c r="J787" s="261"/>
    </row>
    <row r="788" spans="1:10" ht="15">
      <c r="A788" s="217"/>
      <c r="B788" s="218"/>
      <c r="C788" s="218"/>
      <c r="D788" s="218"/>
      <c r="E788" s="218"/>
      <c r="F788" s="260"/>
      <c r="G788" s="224"/>
      <c r="H788" s="260"/>
      <c r="I788" s="261"/>
      <c r="J788" s="261"/>
    </row>
    <row r="789" spans="1:10" ht="15">
      <c r="A789" s="217"/>
      <c r="B789" s="218"/>
      <c r="C789" s="218"/>
      <c r="D789" s="218"/>
      <c r="E789" s="218"/>
      <c r="F789" s="260"/>
      <c r="G789" s="224"/>
      <c r="H789" s="260"/>
      <c r="I789" s="261"/>
      <c r="J789" s="261"/>
    </row>
    <row r="790" spans="1:10" ht="15">
      <c r="A790" s="217"/>
      <c r="B790" s="218"/>
      <c r="C790" s="218"/>
      <c r="D790" s="218"/>
      <c r="E790" s="218"/>
      <c r="F790" s="260"/>
      <c r="G790" s="224"/>
      <c r="H790" s="260"/>
      <c r="I790" s="261"/>
      <c r="J790" s="261"/>
    </row>
    <row r="791" spans="1:10" ht="15">
      <c r="A791" s="217"/>
      <c r="B791" s="218"/>
      <c r="C791" s="218"/>
      <c r="D791" s="218"/>
      <c r="E791" s="218"/>
      <c r="F791" s="260"/>
      <c r="G791" s="224"/>
      <c r="H791" s="260"/>
      <c r="I791" s="261"/>
      <c r="J791" s="261"/>
    </row>
    <row r="792" spans="1:10" ht="15">
      <c r="A792" s="217"/>
      <c r="B792" s="218"/>
      <c r="C792" s="218"/>
      <c r="D792" s="218"/>
      <c r="E792" s="218"/>
      <c r="F792" s="260"/>
      <c r="G792" s="224"/>
      <c r="H792" s="260"/>
      <c r="I792" s="261"/>
      <c r="J792" s="261"/>
    </row>
    <row r="793" spans="1:10" ht="15">
      <c r="A793" s="217"/>
      <c r="B793" s="218"/>
      <c r="C793" s="218"/>
      <c r="D793" s="218"/>
      <c r="E793" s="218"/>
      <c r="F793" s="260"/>
      <c r="G793" s="224"/>
      <c r="H793" s="260"/>
      <c r="I793" s="261"/>
      <c r="J793" s="261"/>
    </row>
    <row r="794" spans="1:10" ht="15">
      <c r="A794" s="217"/>
      <c r="B794" s="218"/>
      <c r="C794" s="218"/>
      <c r="D794" s="218"/>
      <c r="E794" s="218"/>
      <c r="F794" s="260"/>
      <c r="G794" s="224"/>
      <c r="H794" s="260"/>
      <c r="I794" s="261"/>
      <c r="J794" s="261"/>
    </row>
    <row r="795" spans="1:10" ht="15">
      <c r="A795" s="217"/>
      <c r="B795" s="218"/>
      <c r="C795" s="218"/>
      <c r="D795" s="218"/>
      <c r="E795" s="218"/>
      <c r="F795" s="260"/>
      <c r="G795" s="224"/>
      <c r="H795" s="260"/>
      <c r="I795" s="261"/>
      <c r="J795" s="261"/>
    </row>
    <row r="796" spans="1:10" ht="15">
      <c r="A796" s="217"/>
      <c r="B796" s="218"/>
      <c r="C796" s="218"/>
      <c r="D796" s="218"/>
      <c r="E796" s="218"/>
      <c r="F796" s="260"/>
      <c r="G796" s="224"/>
      <c r="H796" s="260"/>
      <c r="I796" s="261"/>
      <c r="J796" s="261"/>
    </row>
    <row r="797" spans="1:10" ht="15">
      <c r="A797" s="217"/>
      <c r="B797" s="218"/>
      <c r="C797" s="218"/>
      <c r="D797" s="218"/>
      <c r="E797" s="218"/>
      <c r="F797" s="260"/>
      <c r="G797" s="224"/>
      <c r="H797" s="260"/>
      <c r="I797" s="261"/>
      <c r="J797" s="261"/>
    </row>
    <row r="798" spans="1:10" ht="15">
      <c r="A798" s="217"/>
      <c r="B798" s="218"/>
      <c r="C798" s="218"/>
      <c r="D798" s="218"/>
      <c r="E798" s="218"/>
      <c r="F798" s="260"/>
      <c r="G798" s="224"/>
      <c r="H798" s="260"/>
      <c r="I798" s="261"/>
      <c r="J798" s="261"/>
    </row>
    <row r="799" spans="1:10" ht="15">
      <c r="A799" s="217"/>
      <c r="B799" s="218"/>
      <c r="C799" s="218"/>
      <c r="D799" s="218"/>
      <c r="E799" s="218"/>
      <c r="F799" s="260"/>
      <c r="G799" s="224"/>
      <c r="H799" s="260"/>
      <c r="I799" s="261"/>
      <c r="J799" s="261"/>
    </row>
    <row r="800" spans="1:10" ht="15">
      <c r="A800" s="217"/>
      <c r="B800" s="218"/>
      <c r="C800" s="218"/>
      <c r="D800" s="218"/>
      <c r="E800" s="218"/>
      <c r="F800" s="260"/>
      <c r="G800" s="224"/>
      <c r="H800" s="260"/>
      <c r="I800" s="261"/>
      <c r="J800" s="261"/>
    </row>
    <row r="801" spans="1:10" ht="15">
      <c r="A801" s="217"/>
      <c r="B801" s="218"/>
      <c r="C801" s="218"/>
      <c r="D801" s="218"/>
      <c r="E801" s="218"/>
      <c r="F801" s="260"/>
      <c r="G801" s="224"/>
      <c r="H801" s="260"/>
      <c r="I801" s="261"/>
      <c r="J801" s="261"/>
    </row>
    <row r="802" spans="1:10" ht="15">
      <c r="A802" s="217"/>
      <c r="B802" s="218"/>
      <c r="C802" s="218"/>
      <c r="D802" s="218"/>
      <c r="E802" s="218"/>
      <c r="F802" s="260"/>
      <c r="G802" s="224"/>
      <c r="H802" s="260"/>
      <c r="I802" s="261"/>
      <c r="J802" s="261"/>
    </row>
    <row r="803" spans="1:10" ht="15">
      <c r="A803" s="217"/>
      <c r="B803" s="218"/>
      <c r="C803" s="218"/>
      <c r="D803" s="218"/>
      <c r="E803" s="218"/>
      <c r="F803" s="260"/>
      <c r="G803" s="224"/>
      <c r="H803" s="260"/>
      <c r="I803" s="261"/>
      <c r="J803" s="261"/>
    </row>
    <row r="804" spans="1:10" ht="15">
      <c r="A804" s="217"/>
      <c r="B804" s="218"/>
      <c r="C804" s="218"/>
      <c r="D804" s="218"/>
      <c r="E804" s="218"/>
      <c r="F804" s="260"/>
      <c r="G804" s="224"/>
      <c r="H804" s="260"/>
      <c r="I804" s="261"/>
      <c r="J804" s="261"/>
    </row>
    <row r="805" spans="1:10" ht="15">
      <c r="A805" s="217"/>
      <c r="B805" s="218"/>
      <c r="C805" s="218"/>
      <c r="D805" s="218"/>
      <c r="E805" s="218"/>
      <c r="F805" s="260"/>
      <c r="G805" s="224"/>
      <c r="H805" s="260"/>
      <c r="I805" s="261"/>
      <c r="J805" s="261"/>
    </row>
    <row r="806" spans="1:10" ht="15">
      <c r="A806" s="217"/>
      <c r="B806" s="218"/>
      <c r="C806" s="218"/>
      <c r="D806" s="218"/>
      <c r="E806" s="218"/>
      <c r="F806" s="260"/>
      <c r="G806" s="224"/>
      <c r="H806" s="260"/>
      <c r="I806" s="261"/>
      <c r="J806" s="261"/>
    </row>
    <row r="807" spans="1:10" ht="15">
      <c r="A807" s="217"/>
      <c r="B807" s="218"/>
      <c r="C807" s="218"/>
      <c r="D807" s="218"/>
      <c r="E807" s="218"/>
      <c r="F807" s="260"/>
      <c r="G807" s="224"/>
      <c r="H807" s="260"/>
      <c r="I807" s="261"/>
      <c r="J807" s="261"/>
    </row>
    <row r="808" spans="1:10" ht="15">
      <c r="A808" s="217"/>
      <c r="B808" s="218"/>
      <c r="C808" s="218"/>
      <c r="D808" s="218"/>
      <c r="E808" s="218"/>
      <c r="F808" s="260"/>
      <c r="G808" s="224"/>
      <c r="H808" s="260"/>
      <c r="I808" s="261"/>
      <c r="J808" s="261"/>
    </row>
    <row r="809" spans="1:10" ht="15">
      <c r="A809" s="217"/>
      <c r="B809" s="218"/>
      <c r="C809" s="218"/>
      <c r="D809" s="218"/>
      <c r="E809" s="218"/>
      <c r="F809" s="260"/>
      <c r="G809" s="224"/>
      <c r="H809" s="260"/>
      <c r="I809" s="261"/>
      <c r="J809" s="261"/>
    </row>
    <row r="810" spans="1:10" ht="15">
      <c r="A810" s="217"/>
      <c r="B810" s="218"/>
      <c r="C810" s="218"/>
      <c r="D810" s="218"/>
      <c r="E810" s="218"/>
      <c r="F810" s="260"/>
      <c r="G810" s="224"/>
      <c r="H810" s="260"/>
      <c r="I810" s="261"/>
      <c r="J810" s="261"/>
    </row>
    <row r="811" spans="1:10" ht="15">
      <c r="A811" s="217"/>
      <c r="B811" s="218"/>
      <c r="C811" s="218"/>
      <c r="D811" s="218"/>
      <c r="E811" s="218"/>
      <c r="F811" s="260"/>
      <c r="G811" s="224"/>
      <c r="H811" s="260"/>
      <c r="I811" s="261"/>
      <c r="J811" s="261"/>
    </row>
    <row r="812" spans="1:10" ht="15">
      <c r="A812" s="217"/>
      <c r="B812" s="218"/>
      <c r="C812" s="218"/>
      <c r="D812" s="218"/>
      <c r="E812" s="218"/>
      <c r="F812" s="260"/>
      <c r="G812" s="224"/>
      <c r="H812" s="260"/>
      <c r="I812" s="261"/>
      <c r="J812" s="261"/>
    </row>
    <row r="813" spans="1:10" ht="15">
      <c r="A813" s="217"/>
      <c r="B813" s="218"/>
      <c r="C813" s="218"/>
      <c r="D813" s="218"/>
      <c r="E813" s="218"/>
      <c r="F813" s="260"/>
      <c r="G813" s="224"/>
      <c r="H813" s="260"/>
      <c r="I813" s="261"/>
      <c r="J813" s="261"/>
    </row>
    <row r="814" spans="1:10" ht="15">
      <c r="A814" s="217"/>
      <c r="B814" s="218"/>
      <c r="C814" s="218"/>
      <c r="D814" s="218"/>
      <c r="E814" s="218"/>
      <c r="F814" s="260"/>
      <c r="G814" s="224"/>
      <c r="H814" s="260"/>
      <c r="I814" s="261"/>
      <c r="J814" s="261"/>
    </row>
    <row r="815" spans="1:10" ht="15">
      <c r="A815" s="217"/>
      <c r="B815" s="218"/>
      <c r="C815" s="218"/>
      <c r="D815" s="218"/>
      <c r="E815" s="218"/>
      <c r="F815" s="260"/>
      <c r="G815" s="224"/>
      <c r="H815" s="260"/>
      <c r="I815" s="261"/>
      <c r="J815" s="261"/>
    </row>
    <row r="816" spans="1:10" ht="15">
      <c r="A816" s="217"/>
      <c r="B816" s="218"/>
      <c r="C816" s="218"/>
      <c r="D816" s="218"/>
      <c r="E816" s="218"/>
      <c r="F816" s="260"/>
      <c r="G816" s="224"/>
      <c r="H816" s="260"/>
      <c r="I816" s="261"/>
      <c r="J816" s="261"/>
    </row>
    <row r="817" spans="1:10" ht="15">
      <c r="A817" s="217"/>
      <c r="B817" s="218"/>
      <c r="C817" s="218"/>
      <c r="D817" s="218"/>
      <c r="E817" s="218"/>
      <c r="F817" s="260"/>
      <c r="G817" s="224"/>
      <c r="H817" s="260"/>
      <c r="I817" s="261"/>
      <c r="J817" s="261"/>
    </row>
    <row r="818" spans="1:10" ht="15">
      <c r="A818" s="217"/>
      <c r="B818" s="218"/>
      <c r="C818" s="218"/>
      <c r="D818" s="218"/>
      <c r="E818" s="218"/>
      <c r="F818" s="260"/>
      <c r="G818" s="224"/>
      <c r="H818" s="260"/>
      <c r="I818" s="261"/>
      <c r="J818" s="261"/>
    </row>
    <row r="819" spans="1:10" ht="15">
      <c r="A819" s="217"/>
      <c r="B819" s="218"/>
      <c r="C819" s="218"/>
      <c r="D819" s="218"/>
      <c r="E819" s="218"/>
      <c r="F819" s="260"/>
      <c r="G819" s="224"/>
      <c r="H819" s="260"/>
      <c r="I819" s="261"/>
      <c r="J819" s="261"/>
    </row>
    <row r="820" spans="1:10" ht="15">
      <c r="A820" s="217"/>
      <c r="B820" s="218"/>
      <c r="C820" s="218"/>
      <c r="D820" s="218"/>
      <c r="E820" s="218"/>
      <c r="F820" s="260"/>
      <c r="G820" s="224"/>
      <c r="H820" s="260"/>
      <c r="I820" s="261"/>
      <c r="J820" s="261"/>
    </row>
    <row r="821" spans="1:10" ht="15">
      <c r="A821" s="217"/>
      <c r="B821" s="218"/>
      <c r="C821" s="218"/>
      <c r="D821" s="218"/>
      <c r="E821" s="218"/>
      <c r="F821" s="260"/>
      <c r="G821" s="224"/>
      <c r="H821" s="260"/>
      <c r="I821" s="261"/>
      <c r="J821" s="261"/>
    </row>
    <row r="822" spans="1:10" ht="15">
      <c r="A822" s="217"/>
      <c r="B822" s="218"/>
      <c r="C822" s="218"/>
      <c r="D822" s="218"/>
      <c r="E822" s="218"/>
      <c r="F822" s="260"/>
      <c r="G822" s="224"/>
      <c r="H822" s="260"/>
      <c r="I822" s="261"/>
      <c r="J822" s="261"/>
    </row>
    <row r="823" spans="1:10" ht="15">
      <c r="A823" s="217"/>
      <c r="B823" s="218"/>
      <c r="C823" s="218"/>
      <c r="D823" s="218"/>
      <c r="E823" s="218"/>
      <c r="F823" s="260"/>
      <c r="G823" s="224"/>
      <c r="H823" s="260"/>
      <c r="I823" s="261"/>
      <c r="J823" s="261"/>
    </row>
    <row r="824" spans="1:10" ht="15">
      <c r="A824" s="217"/>
      <c r="B824" s="218"/>
      <c r="C824" s="218"/>
      <c r="D824" s="218"/>
      <c r="E824" s="218"/>
      <c r="F824" s="260"/>
      <c r="G824" s="224"/>
      <c r="H824" s="260"/>
      <c r="I824" s="261"/>
      <c r="J824" s="261"/>
    </row>
    <row r="825" spans="1:10" ht="15">
      <c r="A825" s="217"/>
      <c r="B825" s="218"/>
      <c r="C825" s="218"/>
      <c r="D825" s="218"/>
      <c r="E825" s="218"/>
      <c r="F825" s="260"/>
      <c r="G825" s="224"/>
      <c r="H825" s="260"/>
      <c r="I825" s="261"/>
      <c r="J825" s="261"/>
    </row>
    <row r="826" spans="1:10" ht="15">
      <c r="A826" s="217"/>
      <c r="B826" s="218"/>
      <c r="C826" s="218"/>
      <c r="D826" s="218"/>
      <c r="E826" s="218"/>
      <c r="F826" s="260"/>
      <c r="G826" s="224"/>
      <c r="H826" s="260"/>
      <c r="I826" s="261"/>
      <c r="J826" s="261"/>
    </row>
    <row r="827" spans="1:10" ht="15">
      <c r="A827" s="217"/>
      <c r="B827" s="218"/>
      <c r="C827" s="218"/>
      <c r="D827" s="218"/>
      <c r="E827" s="218"/>
      <c r="F827" s="260"/>
      <c r="G827" s="224"/>
      <c r="H827" s="260"/>
      <c r="I827" s="261"/>
      <c r="J827" s="261"/>
    </row>
    <row r="828" spans="1:10" ht="15">
      <c r="A828" s="217"/>
      <c r="B828" s="218"/>
      <c r="C828" s="218"/>
      <c r="D828" s="218"/>
      <c r="E828" s="218"/>
      <c r="F828" s="260"/>
      <c r="G828" s="224"/>
      <c r="H828" s="260"/>
      <c r="I828" s="261"/>
      <c r="J828" s="261"/>
    </row>
    <row r="829" spans="1:10" ht="15">
      <c r="A829" s="217"/>
      <c r="B829" s="218"/>
      <c r="C829" s="218"/>
      <c r="D829" s="218"/>
      <c r="E829" s="218"/>
      <c r="F829" s="260"/>
      <c r="G829" s="224"/>
      <c r="H829" s="260"/>
      <c r="I829" s="261"/>
      <c r="J829" s="261"/>
    </row>
    <row r="830" spans="1:10" ht="15">
      <c r="A830" s="217"/>
      <c r="B830" s="218"/>
      <c r="C830" s="218"/>
      <c r="D830" s="218"/>
      <c r="E830" s="218"/>
      <c r="F830" s="260"/>
      <c r="G830" s="224"/>
      <c r="H830" s="260"/>
      <c r="I830" s="261"/>
      <c r="J830" s="261"/>
    </row>
    <row r="831" spans="1:10" ht="15">
      <c r="A831" s="217"/>
      <c r="B831" s="218"/>
      <c r="C831" s="218"/>
      <c r="D831" s="218"/>
      <c r="E831" s="218"/>
      <c r="F831" s="260"/>
      <c r="G831" s="224"/>
      <c r="H831" s="260"/>
      <c r="I831" s="261"/>
      <c r="J831" s="261"/>
    </row>
    <row r="832" spans="1:10" ht="15">
      <c r="A832" s="217"/>
      <c r="B832" s="218"/>
      <c r="C832" s="218"/>
      <c r="D832" s="218"/>
      <c r="E832" s="218"/>
      <c r="F832" s="260"/>
      <c r="G832" s="224"/>
      <c r="H832" s="260"/>
      <c r="I832" s="261"/>
      <c r="J832" s="261"/>
    </row>
    <row r="833" spans="1:10" ht="15">
      <c r="A833" s="217"/>
      <c r="B833" s="218"/>
      <c r="C833" s="218"/>
      <c r="D833" s="218"/>
      <c r="E833" s="218"/>
      <c r="F833" s="260"/>
      <c r="G833" s="224"/>
      <c r="H833" s="260"/>
      <c r="I833" s="261"/>
      <c r="J833" s="261"/>
    </row>
    <row r="834" spans="1:10" ht="15">
      <c r="A834" s="217"/>
      <c r="B834" s="218"/>
      <c r="C834" s="218"/>
      <c r="D834" s="218"/>
      <c r="E834" s="218"/>
      <c r="F834" s="260"/>
      <c r="G834" s="224"/>
      <c r="H834" s="260"/>
      <c r="I834" s="261"/>
      <c r="J834" s="261"/>
    </row>
    <row r="835" spans="1:10" ht="15">
      <c r="A835" s="217"/>
      <c r="B835" s="218"/>
      <c r="C835" s="218"/>
      <c r="D835" s="218"/>
      <c r="E835" s="218"/>
      <c r="F835" s="260"/>
      <c r="G835" s="224"/>
      <c r="H835" s="260"/>
      <c r="I835" s="261"/>
      <c r="J835" s="261"/>
    </row>
    <row r="836" spans="1:10" ht="15">
      <c r="A836" s="217"/>
      <c r="B836" s="218"/>
      <c r="C836" s="218"/>
      <c r="D836" s="218"/>
      <c r="E836" s="218"/>
      <c r="F836" s="260"/>
      <c r="G836" s="224"/>
      <c r="H836" s="260"/>
      <c r="I836" s="261"/>
      <c r="J836" s="261"/>
    </row>
    <row r="837" spans="1:10" ht="15">
      <c r="A837" s="217"/>
      <c r="B837" s="218"/>
      <c r="C837" s="218"/>
      <c r="D837" s="218"/>
      <c r="E837" s="218"/>
      <c r="F837" s="260"/>
      <c r="G837" s="224"/>
      <c r="H837" s="260"/>
      <c r="I837" s="261"/>
      <c r="J837" s="261"/>
    </row>
    <row r="838" spans="1:10" ht="15">
      <c r="A838" s="217"/>
      <c r="B838" s="218"/>
      <c r="C838" s="218"/>
      <c r="D838" s="218"/>
      <c r="E838" s="218"/>
      <c r="F838" s="260"/>
      <c r="G838" s="224"/>
      <c r="H838" s="260"/>
      <c r="I838" s="261"/>
      <c r="J838" s="261"/>
    </row>
    <row r="839" spans="1:10" ht="15">
      <c r="A839" s="217"/>
      <c r="B839" s="218"/>
      <c r="C839" s="218"/>
      <c r="D839" s="218"/>
      <c r="E839" s="218"/>
      <c r="F839" s="260"/>
      <c r="G839" s="224"/>
      <c r="H839" s="260"/>
      <c r="I839" s="261"/>
      <c r="J839" s="261"/>
    </row>
    <row r="840" spans="1:10" ht="15">
      <c r="A840" s="217"/>
      <c r="B840" s="218"/>
      <c r="C840" s="218"/>
      <c r="D840" s="218"/>
      <c r="E840" s="218"/>
      <c r="F840" s="260"/>
      <c r="G840" s="224"/>
      <c r="H840" s="260"/>
      <c r="I840" s="261"/>
      <c r="J840" s="261"/>
    </row>
    <row r="841" spans="1:10" ht="15">
      <c r="A841" s="217"/>
      <c r="B841" s="218"/>
      <c r="C841" s="218"/>
      <c r="D841" s="218"/>
      <c r="E841" s="218"/>
      <c r="F841" s="260"/>
      <c r="G841" s="224"/>
      <c r="H841" s="260"/>
      <c r="I841" s="261"/>
      <c r="J841" s="261"/>
    </row>
    <row r="842" spans="1:10" ht="15">
      <c r="A842" s="217"/>
      <c r="B842" s="218"/>
      <c r="C842" s="218"/>
      <c r="D842" s="218"/>
      <c r="E842" s="218"/>
      <c r="F842" s="260"/>
      <c r="G842" s="224"/>
      <c r="H842" s="260"/>
      <c r="I842" s="261"/>
      <c r="J842" s="261"/>
    </row>
    <row r="843" spans="1:10" ht="15">
      <c r="A843" s="217"/>
      <c r="B843" s="218"/>
      <c r="C843" s="218"/>
      <c r="D843" s="218"/>
      <c r="E843" s="218"/>
      <c r="F843" s="260"/>
      <c r="G843" s="224"/>
      <c r="H843" s="260"/>
      <c r="I843" s="261"/>
      <c r="J843" s="261"/>
    </row>
    <row r="844" spans="1:10" ht="15">
      <c r="A844" s="217"/>
      <c r="B844" s="218"/>
      <c r="C844" s="218"/>
      <c r="D844" s="218"/>
      <c r="E844" s="218"/>
      <c r="F844" s="260"/>
      <c r="G844" s="224"/>
      <c r="H844" s="260"/>
      <c r="I844" s="261"/>
      <c r="J844" s="261"/>
    </row>
    <row r="845" spans="1:10" ht="15">
      <c r="A845" s="217"/>
      <c r="B845" s="218"/>
      <c r="C845" s="218"/>
      <c r="D845" s="218"/>
      <c r="E845" s="218"/>
      <c r="F845" s="260"/>
      <c r="G845" s="224"/>
      <c r="H845" s="260"/>
      <c r="I845" s="261"/>
      <c r="J845" s="261"/>
    </row>
    <row r="846" spans="1:10" ht="15">
      <c r="A846" s="217"/>
      <c r="B846" s="218"/>
      <c r="C846" s="218"/>
      <c r="D846" s="218"/>
      <c r="E846" s="218"/>
      <c r="F846" s="260"/>
      <c r="G846" s="224"/>
      <c r="H846" s="260"/>
      <c r="I846" s="261"/>
      <c r="J846" s="261"/>
    </row>
    <row r="847" spans="1:10" ht="15">
      <c r="A847" s="217"/>
      <c r="B847" s="218"/>
      <c r="C847" s="218"/>
      <c r="D847" s="218"/>
      <c r="E847" s="218"/>
      <c r="F847" s="260"/>
      <c r="G847" s="224"/>
      <c r="H847" s="260"/>
      <c r="I847" s="261"/>
      <c r="J847" s="261"/>
    </row>
    <row r="848" spans="1:10" ht="15">
      <c r="A848" s="217"/>
      <c r="B848" s="218"/>
      <c r="C848" s="218"/>
      <c r="D848" s="218"/>
      <c r="E848" s="218"/>
      <c r="F848" s="260"/>
      <c r="G848" s="224"/>
      <c r="H848" s="260"/>
      <c r="I848" s="261"/>
      <c r="J848" s="261"/>
    </row>
    <row r="849" spans="1:10" ht="15">
      <c r="A849" s="217"/>
      <c r="B849" s="218"/>
      <c r="C849" s="218"/>
      <c r="D849" s="218"/>
      <c r="E849" s="218"/>
      <c r="F849" s="260"/>
      <c r="G849" s="224"/>
      <c r="H849" s="260"/>
      <c r="I849" s="261"/>
      <c r="J849" s="261"/>
    </row>
    <row r="850" spans="1:10" ht="15">
      <c r="A850" s="217"/>
      <c r="B850" s="218"/>
      <c r="C850" s="218"/>
      <c r="D850" s="218"/>
      <c r="E850" s="218"/>
      <c r="F850" s="260"/>
      <c r="G850" s="224"/>
      <c r="H850" s="260"/>
      <c r="I850" s="261"/>
      <c r="J850" s="261"/>
    </row>
    <row r="851" spans="1:10" ht="15">
      <c r="A851" s="217"/>
      <c r="B851" s="218"/>
      <c r="C851" s="218"/>
      <c r="D851" s="218"/>
      <c r="E851" s="218"/>
      <c r="F851" s="260"/>
      <c r="G851" s="224"/>
      <c r="H851" s="260"/>
      <c r="I851" s="261"/>
      <c r="J851" s="261"/>
    </row>
    <row r="852" spans="1:10" ht="15">
      <c r="A852" s="217"/>
      <c r="B852" s="218"/>
      <c r="C852" s="218"/>
      <c r="D852" s="218"/>
      <c r="E852" s="218"/>
      <c r="F852" s="260"/>
      <c r="G852" s="224"/>
      <c r="H852" s="260"/>
      <c r="I852" s="261"/>
      <c r="J852" s="261"/>
    </row>
    <row r="853" spans="1:10" ht="15">
      <c r="A853" s="217"/>
      <c r="B853" s="218"/>
      <c r="C853" s="218"/>
      <c r="D853" s="218"/>
      <c r="E853" s="218"/>
      <c r="F853" s="260"/>
      <c r="G853" s="224"/>
      <c r="H853" s="260"/>
      <c r="I853" s="261"/>
      <c r="J853" s="261"/>
    </row>
    <row r="854" spans="1:10" ht="15">
      <c r="A854" s="217"/>
      <c r="B854" s="218"/>
      <c r="C854" s="218"/>
      <c r="D854" s="218"/>
      <c r="E854" s="218"/>
      <c r="F854" s="260"/>
      <c r="G854" s="224"/>
      <c r="H854" s="260"/>
      <c r="I854" s="261"/>
      <c r="J854" s="261"/>
    </row>
    <row r="855" spans="1:10" ht="15">
      <c r="A855" s="217"/>
      <c r="B855" s="218"/>
      <c r="C855" s="218"/>
      <c r="D855" s="218"/>
      <c r="E855" s="218"/>
      <c r="F855" s="260"/>
      <c r="G855" s="224"/>
      <c r="H855" s="260"/>
      <c r="I855" s="261"/>
      <c r="J855" s="261"/>
    </row>
    <row r="856" spans="1:10" ht="15">
      <c r="A856" s="217"/>
      <c r="B856" s="218"/>
      <c r="C856" s="218"/>
      <c r="D856" s="218"/>
      <c r="E856" s="218"/>
      <c r="F856" s="260"/>
      <c r="G856" s="224"/>
      <c r="H856" s="260"/>
      <c r="I856" s="261"/>
      <c r="J856" s="261"/>
    </row>
    <row r="857" spans="1:10" ht="15">
      <c r="A857" s="217"/>
      <c r="B857" s="218"/>
      <c r="C857" s="218"/>
      <c r="D857" s="218"/>
      <c r="E857" s="218"/>
      <c r="F857" s="260"/>
      <c r="G857" s="224"/>
      <c r="H857" s="260"/>
      <c r="I857" s="261"/>
      <c r="J857" s="261"/>
    </row>
    <row r="858" spans="1:10" ht="15">
      <c r="A858" s="217"/>
      <c r="B858" s="218"/>
      <c r="C858" s="218"/>
      <c r="D858" s="218"/>
      <c r="E858" s="218"/>
      <c r="F858" s="260"/>
      <c r="G858" s="224"/>
      <c r="H858" s="260"/>
      <c r="I858" s="261"/>
      <c r="J858" s="261"/>
    </row>
    <row r="859" spans="1:10" ht="15">
      <c r="A859" s="217"/>
      <c r="B859" s="218"/>
      <c r="C859" s="218"/>
      <c r="D859" s="218"/>
      <c r="E859" s="218"/>
      <c r="F859" s="260"/>
      <c r="G859" s="224"/>
      <c r="H859" s="260"/>
      <c r="I859" s="261"/>
      <c r="J859" s="261"/>
    </row>
    <row r="860" spans="1:10" ht="15">
      <c r="A860" s="217"/>
      <c r="B860" s="218"/>
      <c r="C860" s="218"/>
      <c r="D860" s="218"/>
      <c r="E860" s="218"/>
      <c r="F860" s="260"/>
      <c r="G860" s="224"/>
      <c r="H860" s="260"/>
      <c r="I860" s="261"/>
      <c r="J860" s="261"/>
    </row>
    <row r="861" spans="1:10" ht="15">
      <c r="A861" s="217"/>
      <c r="B861" s="218"/>
      <c r="C861" s="218"/>
      <c r="D861" s="218"/>
      <c r="E861" s="218"/>
      <c r="F861" s="260"/>
      <c r="G861" s="224"/>
      <c r="H861" s="260"/>
      <c r="I861" s="261"/>
      <c r="J861" s="261"/>
    </row>
    <row r="862" spans="1:10" ht="15">
      <c r="A862" s="217"/>
      <c r="B862" s="218"/>
      <c r="C862" s="218"/>
      <c r="D862" s="218"/>
      <c r="E862" s="218"/>
      <c r="F862" s="260"/>
      <c r="G862" s="224"/>
      <c r="H862" s="260"/>
      <c r="I862" s="261"/>
      <c r="J862" s="261"/>
    </row>
    <row r="863" spans="1:10" ht="15">
      <c r="A863" s="217"/>
      <c r="B863" s="218"/>
      <c r="C863" s="218"/>
      <c r="D863" s="218"/>
      <c r="E863" s="218"/>
      <c r="F863" s="260"/>
      <c r="G863" s="224"/>
      <c r="H863" s="260"/>
      <c r="I863" s="261"/>
      <c r="J863" s="261"/>
    </row>
    <row r="864" spans="1:10" ht="15">
      <c r="A864" s="217"/>
      <c r="B864" s="218"/>
      <c r="C864" s="218"/>
      <c r="D864" s="218"/>
      <c r="E864" s="218"/>
      <c r="F864" s="260"/>
      <c r="G864" s="224"/>
      <c r="H864" s="260"/>
      <c r="I864" s="261"/>
      <c r="J864" s="261"/>
    </row>
    <row r="865" spans="1:10" ht="15">
      <c r="A865" s="217"/>
      <c r="B865" s="218"/>
      <c r="C865" s="218"/>
      <c r="D865" s="218"/>
      <c r="E865" s="218"/>
      <c r="F865" s="260"/>
      <c r="G865" s="224"/>
      <c r="H865" s="260"/>
      <c r="I865" s="261"/>
      <c r="J865" s="261"/>
    </row>
    <row r="866" spans="1:10" ht="15">
      <c r="A866" s="217"/>
      <c r="B866" s="218"/>
      <c r="C866" s="218"/>
      <c r="D866" s="218"/>
      <c r="E866" s="218"/>
      <c r="F866" s="260"/>
      <c r="G866" s="224"/>
      <c r="H866" s="260"/>
      <c r="I866" s="261"/>
      <c r="J866" s="261"/>
    </row>
    <row r="867" spans="1:10" ht="15">
      <c r="A867" s="217"/>
      <c r="B867" s="218"/>
      <c r="C867" s="218"/>
      <c r="D867" s="218"/>
      <c r="E867" s="218"/>
      <c r="F867" s="260"/>
      <c r="G867" s="224"/>
      <c r="H867" s="260"/>
      <c r="I867" s="261"/>
      <c r="J867" s="261"/>
    </row>
    <row r="868" spans="1:10" ht="15">
      <c r="A868" s="217"/>
      <c r="B868" s="218"/>
      <c r="C868" s="218"/>
      <c r="D868" s="218"/>
      <c r="E868" s="218"/>
      <c r="F868" s="260"/>
      <c r="G868" s="224"/>
      <c r="H868" s="260"/>
      <c r="I868" s="261"/>
      <c r="J868" s="261"/>
    </row>
    <row r="869" spans="1:10" ht="15">
      <c r="A869" s="217"/>
      <c r="B869" s="218"/>
      <c r="C869" s="218"/>
      <c r="D869" s="218"/>
      <c r="E869" s="218"/>
      <c r="F869" s="260"/>
      <c r="G869" s="224"/>
      <c r="H869" s="260"/>
      <c r="I869" s="261"/>
      <c r="J869" s="261"/>
    </row>
    <row r="870" spans="1:10" ht="15">
      <c r="A870" s="217"/>
      <c r="B870" s="218"/>
      <c r="C870" s="218"/>
      <c r="D870" s="218"/>
      <c r="E870" s="218"/>
      <c r="F870" s="260"/>
      <c r="G870" s="224"/>
      <c r="H870" s="260"/>
      <c r="I870" s="261"/>
      <c r="J870" s="261"/>
    </row>
    <row r="871" spans="1:10" ht="15">
      <c r="A871" s="217"/>
      <c r="B871" s="218"/>
      <c r="C871" s="218"/>
      <c r="D871" s="218"/>
      <c r="E871" s="218"/>
      <c r="F871" s="260"/>
      <c r="G871" s="224"/>
      <c r="H871" s="260"/>
      <c r="I871" s="261"/>
      <c r="J871" s="261"/>
    </row>
    <row r="872" spans="1:10" ht="15">
      <c r="A872" s="217"/>
      <c r="B872" s="218"/>
      <c r="C872" s="218"/>
      <c r="D872" s="218"/>
      <c r="E872" s="218"/>
      <c r="F872" s="260"/>
      <c r="G872" s="224"/>
      <c r="H872" s="260"/>
      <c r="I872" s="261"/>
      <c r="J872" s="261"/>
    </row>
    <row r="873" spans="1:10" ht="15">
      <c r="A873" s="217"/>
      <c r="B873" s="218"/>
      <c r="C873" s="218"/>
      <c r="D873" s="218"/>
      <c r="E873" s="218"/>
      <c r="F873" s="260"/>
      <c r="G873" s="224"/>
      <c r="H873" s="260"/>
      <c r="I873" s="261"/>
      <c r="J873" s="261"/>
    </row>
    <row r="874" spans="1:10" ht="15">
      <c r="A874" s="217"/>
      <c r="B874" s="218"/>
      <c r="C874" s="218"/>
      <c r="D874" s="218"/>
      <c r="E874" s="218"/>
      <c r="F874" s="260"/>
      <c r="G874" s="224"/>
      <c r="H874" s="260"/>
      <c r="I874" s="261"/>
      <c r="J874" s="261"/>
    </row>
    <row r="875" spans="1:10" ht="15">
      <c r="A875" s="217"/>
      <c r="B875" s="218"/>
      <c r="C875" s="218"/>
      <c r="D875" s="218"/>
      <c r="E875" s="218"/>
      <c r="F875" s="260"/>
      <c r="G875" s="224"/>
      <c r="H875" s="260"/>
      <c r="I875" s="261"/>
      <c r="J875" s="261"/>
    </row>
    <row r="876" spans="1:10" ht="15">
      <c r="A876" s="217"/>
      <c r="B876" s="218"/>
      <c r="C876" s="218"/>
      <c r="D876" s="218"/>
      <c r="E876" s="218"/>
      <c r="F876" s="260"/>
      <c r="G876" s="224"/>
      <c r="H876" s="260"/>
      <c r="I876" s="261"/>
      <c r="J876" s="261"/>
    </row>
    <row r="877" spans="1:10" ht="15">
      <c r="A877" s="217"/>
      <c r="B877" s="218"/>
      <c r="C877" s="218"/>
      <c r="D877" s="218"/>
      <c r="E877" s="218"/>
      <c r="F877" s="260"/>
      <c r="G877" s="224"/>
      <c r="H877" s="260"/>
      <c r="I877" s="261"/>
      <c r="J877" s="261"/>
    </row>
    <row r="878" spans="1:10" ht="15">
      <c r="A878" s="217"/>
      <c r="B878" s="218"/>
      <c r="C878" s="218"/>
      <c r="D878" s="218"/>
      <c r="E878" s="218"/>
      <c r="F878" s="260"/>
      <c r="G878" s="224"/>
      <c r="H878" s="260"/>
      <c r="I878" s="261"/>
      <c r="J878" s="261"/>
    </row>
    <row r="879" spans="1:10" ht="15">
      <c r="A879" s="217"/>
      <c r="B879" s="218"/>
      <c r="C879" s="218"/>
      <c r="D879" s="218"/>
      <c r="E879" s="218"/>
      <c r="F879" s="260"/>
      <c r="G879" s="224"/>
      <c r="H879" s="260"/>
      <c r="I879" s="261"/>
      <c r="J879" s="261"/>
    </row>
    <row r="880" spans="1:10" ht="15">
      <c r="A880" s="217"/>
      <c r="B880" s="218"/>
      <c r="C880" s="218"/>
      <c r="D880" s="218"/>
      <c r="E880" s="218"/>
      <c r="F880" s="260"/>
      <c r="G880" s="224"/>
      <c r="H880" s="260"/>
      <c r="I880" s="261"/>
      <c r="J880" s="261"/>
    </row>
    <row r="881" spans="1:10" ht="15">
      <c r="A881" s="217"/>
      <c r="B881" s="218"/>
      <c r="C881" s="218"/>
      <c r="D881" s="218"/>
      <c r="E881" s="218"/>
      <c r="F881" s="260"/>
      <c r="G881" s="224"/>
      <c r="H881" s="260"/>
      <c r="I881" s="261"/>
      <c r="J881" s="261"/>
    </row>
    <row r="882" spans="1:10" ht="15">
      <c r="A882" s="217"/>
      <c r="B882" s="218"/>
      <c r="C882" s="218"/>
      <c r="D882" s="218"/>
      <c r="E882" s="218"/>
      <c r="F882" s="260"/>
      <c r="G882" s="224"/>
      <c r="H882" s="260"/>
      <c r="I882" s="261"/>
      <c r="J882" s="261"/>
    </row>
    <row r="883" spans="1:10" ht="15">
      <c r="A883" s="217"/>
      <c r="B883" s="218"/>
      <c r="C883" s="218"/>
      <c r="D883" s="218"/>
      <c r="E883" s="218"/>
      <c r="F883" s="260"/>
      <c r="G883" s="224"/>
      <c r="H883" s="260"/>
      <c r="I883" s="261"/>
      <c r="J883" s="261"/>
    </row>
    <row r="884" spans="1:10" ht="15">
      <c r="A884" s="217"/>
      <c r="B884" s="218"/>
      <c r="C884" s="218"/>
      <c r="D884" s="218"/>
      <c r="E884" s="218"/>
      <c r="F884" s="260"/>
      <c r="G884" s="224"/>
      <c r="H884" s="260"/>
      <c r="I884" s="261"/>
      <c r="J884" s="261"/>
    </row>
    <row r="885" spans="1:10" ht="15">
      <c r="A885" s="217"/>
      <c r="B885" s="218"/>
      <c r="C885" s="218"/>
      <c r="D885" s="218"/>
      <c r="E885" s="218"/>
      <c r="F885" s="260"/>
      <c r="G885" s="224"/>
      <c r="H885" s="260"/>
      <c r="I885" s="261"/>
      <c r="J885" s="261"/>
    </row>
    <row r="886" spans="1:10" ht="15">
      <c r="A886" s="217"/>
      <c r="B886" s="218"/>
      <c r="C886" s="218"/>
      <c r="D886" s="218"/>
      <c r="E886" s="218"/>
      <c r="F886" s="260"/>
      <c r="G886" s="224"/>
      <c r="H886" s="260"/>
      <c r="I886" s="261"/>
      <c r="J886" s="261"/>
    </row>
    <row r="887" spans="1:10" ht="15">
      <c r="A887" s="217"/>
      <c r="B887" s="218"/>
      <c r="C887" s="218"/>
      <c r="D887" s="218"/>
      <c r="E887" s="218"/>
      <c r="F887" s="260"/>
      <c r="G887" s="224"/>
      <c r="H887" s="260"/>
      <c r="I887" s="261"/>
      <c r="J887" s="261"/>
    </row>
    <row r="888" spans="1:10" ht="15">
      <c r="A888" s="217"/>
      <c r="B888" s="218"/>
      <c r="C888" s="218"/>
      <c r="D888" s="218"/>
      <c r="E888" s="218"/>
      <c r="F888" s="260"/>
      <c r="G888" s="224"/>
      <c r="H888" s="260"/>
      <c r="I888" s="261"/>
      <c r="J888" s="261"/>
    </row>
    <row r="889" spans="1:10" ht="15">
      <c r="A889" s="217"/>
      <c r="B889" s="218"/>
      <c r="C889" s="218"/>
      <c r="D889" s="218"/>
      <c r="E889" s="218"/>
      <c r="F889" s="260"/>
      <c r="G889" s="224"/>
      <c r="H889" s="260"/>
      <c r="I889" s="261"/>
      <c r="J889" s="261"/>
    </row>
    <row r="890" spans="1:10" ht="15">
      <c r="A890" s="217"/>
      <c r="B890" s="218"/>
      <c r="C890" s="218"/>
      <c r="D890" s="218"/>
      <c r="E890" s="218"/>
      <c r="F890" s="260"/>
      <c r="G890" s="224"/>
      <c r="H890" s="260"/>
      <c r="I890" s="261"/>
      <c r="J890" s="261"/>
    </row>
    <row r="891" spans="1:10" ht="15">
      <c r="A891" s="217"/>
      <c r="B891" s="218"/>
      <c r="C891" s="218"/>
      <c r="D891" s="218"/>
      <c r="E891" s="218"/>
      <c r="F891" s="260"/>
      <c r="G891" s="224"/>
      <c r="H891" s="260"/>
      <c r="I891" s="261"/>
      <c r="J891" s="261"/>
    </row>
    <row r="892" spans="1:10" ht="15">
      <c r="A892" s="217"/>
      <c r="B892" s="218"/>
      <c r="C892" s="218"/>
      <c r="D892" s="218"/>
      <c r="E892" s="218"/>
      <c r="F892" s="260"/>
      <c r="G892" s="224"/>
      <c r="H892" s="260"/>
      <c r="I892" s="261"/>
      <c r="J892" s="261"/>
    </row>
    <row r="893" spans="1:10" ht="15">
      <c r="A893" s="217"/>
      <c r="B893" s="218"/>
      <c r="C893" s="218"/>
      <c r="D893" s="218"/>
      <c r="E893" s="218"/>
      <c r="F893" s="260"/>
      <c r="G893" s="224"/>
      <c r="H893" s="260"/>
      <c r="I893" s="261"/>
      <c r="J893" s="261"/>
    </row>
    <row r="894" spans="1:10" ht="15">
      <c r="A894" s="217"/>
      <c r="B894" s="218"/>
      <c r="C894" s="218"/>
      <c r="D894" s="218"/>
      <c r="E894" s="218"/>
      <c r="F894" s="260"/>
      <c r="G894" s="224"/>
      <c r="H894" s="260"/>
      <c r="I894" s="261"/>
      <c r="J894" s="261"/>
    </row>
    <row r="895" spans="1:10" ht="15">
      <c r="A895" s="217"/>
      <c r="B895" s="218"/>
      <c r="C895" s="218"/>
      <c r="D895" s="218"/>
      <c r="E895" s="218"/>
      <c r="F895" s="260"/>
      <c r="G895" s="224"/>
      <c r="H895" s="260"/>
      <c r="I895" s="261"/>
      <c r="J895" s="261"/>
    </row>
    <row r="896" spans="1:10" ht="15">
      <c r="A896" s="217"/>
      <c r="B896" s="218"/>
      <c r="C896" s="218"/>
      <c r="D896" s="218"/>
      <c r="E896" s="218"/>
      <c r="F896" s="260"/>
      <c r="G896" s="224"/>
      <c r="H896" s="260"/>
      <c r="I896" s="261"/>
      <c r="J896" s="261"/>
    </row>
    <row r="897" spans="1:10" ht="15">
      <c r="A897" s="217"/>
      <c r="B897" s="218"/>
      <c r="C897" s="218"/>
      <c r="D897" s="218"/>
      <c r="E897" s="218"/>
      <c r="F897" s="260"/>
      <c r="G897" s="224"/>
      <c r="H897" s="260"/>
      <c r="I897" s="261"/>
      <c r="J897" s="261"/>
    </row>
    <row r="898" spans="1:10" ht="15">
      <c r="A898" s="217"/>
      <c r="B898" s="218"/>
      <c r="C898" s="218"/>
      <c r="D898" s="218"/>
      <c r="E898" s="218"/>
      <c r="F898" s="260"/>
      <c r="G898" s="224"/>
      <c r="H898" s="260"/>
      <c r="I898" s="261"/>
      <c r="J898" s="261"/>
    </row>
    <row r="899" spans="1:10" ht="15">
      <c r="A899" s="217"/>
      <c r="B899" s="218"/>
      <c r="C899" s="218"/>
      <c r="D899" s="218"/>
      <c r="E899" s="218"/>
      <c r="F899" s="260"/>
      <c r="G899" s="224"/>
      <c r="H899" s="260"/>
      <c r="I899" s="261"/>
      <c r="J899" s="261"/>
    </row>
    <row r="900" spans="1:10" ht="15">
      <c r="A900" s="217"/>
      <c r="B900" s="218"/>
      <c r="C900" s="218"/>
      <c r="D900" s="218"/>
      <c r="E900" s="218"/>
      <c r="F900" s="260"/>
      <c r="G900" s="224"/>
      <c r="H900" s="260"/>
      <c r="I900" s="261"/>
      <c r="J900" s="261"/>
    </row>
    <row r="901" spans="1:10" ht="15">
      <c r="A901" s="217"/>
      <c r="B901" s="218"/>
      <c r="C901" s="218"/>
      <c r="D901" s="218"/>
      <c r="E901" s="218"/>
      <c r="F901" s="260"/>
      <c r="G901" s="224"/>
      <c r="H901" s="260"/>
      <c r="I901" s="261"/>
      <c r="J901" s="261"/>
    </row>
    <row r="902" spans="1:10" ht="15">
      <c r="A902" s="217"/>
      <c r="B902" s="218"/>
      <c r="C902" s="218"/>
      <c r="D902" s="218"/>
      <c r="E902" s="218"/>
      <c r="F902" s="260"/>
      <c r="G902" s="224"/>
      <c r="H902" s="260"/>
      <c r="I902" s="261"/>
      <c r="J902" s="261"/>
    </row>
    <row r="903" spans="1:10" ht="15">
      <c r="A903" s="217"/>
      <c r="B903" s="218"/>
      <c r="C903" s="218"/>
      <c r="D903" s="218"/>
      <c r="E903" s="218"/>
      <c r="F903" s="260"/>
      <c r="G903" s="224"/>
      <c r="H903" s="260"/>
      <c r="I903" s="261"/>
      <c r="J903" s="261"/>
    </row>
    <row r="904" spans="1:10" ht="15">
      <c r="A904" s="217"/>
      <c r="B904" s="218"/>
      <c r="C904" s="218"/>
      <c r="D904" s="218"/>
      <c r="E904" s="218"/>
      <c r="F904" s="260"/>
      <c r="G904" s="224"/>
      <c r="H904" s="260"/>
      <c r="I904" s="261"/>
      <c r="J904" s="261"/>
    </row>
    <row r="905" spans="1:10" ht="15">
      <c r="A905" s="217"/>
      <c r="B905" s="218"/>
      <c r="C905" s="218"/>
      <c r="D905" s="218"/>
      <c r="E905" s="218"/>
      <c r="F905" s="260"/>
      <c r="G905" s="224"/>
      <c r="H905" s="260"/>
      <c r="I905" s="261"/>
      <c r="J905" s="261"/>
    </row>
    <row r="906" spans="1:10" ht="15">
      <c r="A906" s="217"/>
      <c r="B906" s="218"/>
      <c r="C906" s="218"/>
      <c r="D906" s="218"/>
      <c r="E906" s="218"/>
      <c r="F906" s="260"/>
      <c r="G906" s="224"/>
      <c r="H906" s="260"/>
      <c r="I906" s="261"/>
      <c r="J906" s="261"/>
    </row>
  </sheetData>
  <mergeCells count="1">
    <mergeCell ref="A1:J1"/>
  </mergeCells>
  <conditionalFormatting sqref="G4:G35 G39 G41:G906">
    <cfRule type="cellIs" dxfId="22" priority="1" operator="equal">
      <formula>0</formula>
    </cfRule>
  </conditionalFormatting>
  <conditionalFormatting sqref="F4:G4 H4:H35 I4 H39 H41:H906">
    <cfRule type="cellIs" dxfId="21" priority="2" operator="equal">
      <formula>0</formula>
    </cfRule>
  </conditionalFormatting>
  <printOptions horizontalCentered="1" gridLines="1"/>
  <pageMargins left="0.19685039370078738" right="0.19685039370078738" top="0.19685039370078738" bottom="0.19685039370078738" header="0" footer="0"/>
  <pageSetup paperSize="9" fitToWidth="0" pageOrder="overThenDown" orientation="portrait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K237"/>
  <sheetViews>
    <sheetView workbookViewId="0">
      <pane ySplit="4" topLeftCell="A5" activePane="bottomLeft" state="frozen"/>
      <selection pane="bottomLeft" activeCell="C6" sqref="C6"/>
    </sheetView>
  </sheetViews>
  <sheetFormatPr baseColWidth="10" defaultColWidth="12.5703125" defaultRowHeight="15.75" customHeight="1"/>
  <cols>
    <col min="1" max="1" width="14.42578125" customWidth="1"/>
    <col min="2" max="2" width="18.28515625" customWidth="1"/>
    <col min="3" max="3" width="33.7109375" customWidth="1"/>
    <col min="4" max="4" width="17.42578125" customWidth="1"/>
    <col min="5" max="5" width="14.28515625" customWidth="1"/>
    <col min="6" max="6" width="14.42578125" customWidth="1"/>
    <col min="7" max="7" width="16.140625" customWidth="1"/>
    <col min="8" max="8" width="15.5703125" customWidth="1"/>
    <col min="9" max="9" width="17.140625" customWidth="1"/>
    <col min="10" max="10" width="15.5703125" customWidth="1"/>
    <col min="11" max="11" width="27" customWidth="1"/>
  </cols>
  <sheetData>
    <row r="1" spans="1:11" ht="18">
      <c r="A1" s="494" t="s">
        <v>298</v>
      </c>
      <c r="B1" s="456"/>
      <c r="C1" s="456"/>
      <c r="D1" s="456"/>
      <c r="E1" s="456"/>
      <c r="F1" s="456"/>
      <c r="G1" s="456"/>
      <c r="H1" s="456"/>
      <c r="I1" s="456"/>
      <c r="J1" s="456"/>
      <c r="K1" s="293"/>
    </row>
    <row r="2" spans="1:11" ht="15.75" customHeight="1">
      <c r="A2" s="294"/>
      <c r="B2" s="239"/>
      <c r="C2" s="239"/>
      <c r="D2" s="240"/>
      <c r="E2" s="240"/>
      <c r="F2" s="240"/>
      <c r="G2" s="240"/>
      <c r="H2" s="240"/>
      <c r="I2" s="240"/>
      <c r="J2" s="241"/>
      <c r="K2" s="295"/>
    </row>
    <row r="3" spans="1:11" ht="15.75" customHeight="1">
      <c r="A3" s="296" t="s">
        <v>299</v>
      </c>
      <c r="B3" s="242" t="s">
        <v>300</v>
      </c>
      <c r="C3" s="242" t="s">
        <v>67</v>
      </c>
      <c r="D3" s="243" t="s">
        <v>66</v>
      </c>
      <c r="E3" s="243" t="s">
        <v>56</v>
      </c>
      <c r="F3" s="243" t="s">
        <v>160</v>
      </c>
      <c r="G3" s="243" t="s">
        <v>161</v>
      </c>
      <c r="H3" s="243" t="s">
        <v>162</v>
      </c>
      <c r="I3" s="243" t="s">
        <v>163</v>
      </c>
      <c r="J3" s="244" t="s">
        <v>301</v>
      </c>
      <c r="K3" s="295"/>
    </row>
    <row r="4" spans="1:11" ht="15.75" customHeight="1">
      <c r="A4" s="217"/>
      <c r="B4" s="218"/>
      <c r="C4" s="218"/>
      <c r="D4" s="245">
        <f t="shared" ref="D4:J4" si="0">SUM(D5:D237)</f>
        <v>4125945.6654659864</v>
      </c>
      <c r="E4" s="245">
        <f t="shared" si="0"/>
        <v>882240.7699999999</v>
      </c>
      <c r="F4" s="245">
        <f t="shared" si="0"/>
        <v>183577.30999999994</v>
      </c>
      <c r="G4" s="245">
        <f t="shared" si="0"/>
        <v>300506.25</v>
      </c>
      <c r="H4" s="245">
        <f t="shared" si="0"/>
        <v>0</v>
      </c>
      <c r="I4" s="247">
        <f t="shared" si="0"/>
        <v>1363895.3299999998</v>
      </c>
      <c r="J4" s="245">
        <f t="shared" si="0"/>
        <v>2762050.3354659849</v>
      </c>
      <c r="K4" s="297" t="s">
        <v>186</v>
      </c>
    </row>
    <row r="5" spans="1:11" ht="12.75">
      <c r="A5" s="493" t="s">
        <v>302</v>
      </c>
      <c r="B5" s="456"/>
      <c r="C5" s="456"/>
      <c r="D5" s="456"/>
      <c r="E5" s="456"/>
      <c r="F5" s="456"/>
      <c r="G5" s="456"/>
      <c r="H5" s="456"/>
      <c r="I5" s="456"/>
      <c r="J5" s="456"/>
      <c r="K5" s="298"/>
    </row>
    <row r="6" spans="1:11" ht="12.75">
      <c r="A6" s="299">
        <v>44690</v>
      </c>
      <c r="B6" s="300">
        <v>27759509</v>
      </c>
      <c r="C6" s="300" t="s">
        <v>71</v>
      </c>
      <c r="D6" s="301">
        <f>PRESUPUESTO!D4</f>
        <v>98500</v>
      </c>
      <c r="E6" s="301">
        <v>65000</v>
      </c>
      <c r="F6" s="301">
        <v>0</v>
      </c>
      <c r="G6" s="301">
        <v>0</v>
      </c>
      <c r="H6" s="301">
        <v>0</v>
      </c>
      <c r="I6" s="301">
        <f t="shared" ref="I6:I17" si="1">SUM(E6:H6)</f>
        <v>65000</v>
      </c>
      <c r="J6" s="301">
        <f t="shared" ref="J6:J23" si="2">D6-I6</f>
        <v>33500</v>
      </c>
      <c r="K6" s="302"/>
    </row>
    <row r="7" spans="1:11" ht="12.75">
      <c r="A7" s="299">
        <v>44691</v>
      </c>
      <c r="B7" s="300">
        <v>1522260</v>
      </c>
      <c r="C7" s="300" t="s">
        <v>73</v>
      </c>
      <c r="D7" s="301">
        <f>PRESUPUESTO!D5</f>
        <v>12203.033408103725</v>
      </c>
      <c r="E7" s="301">
        <v>4717.79</v>
      </c>
      <c r="F7" s="301">
        <v>0</v>
      </c>
      <c r="G7" s="301">
        <v>0</v>
      </c>
      <c r="H7" s="301">
        <v>0</v>
      </c>
      <c r="I7" s="301">
        <f t="shared" si="1"/>
        <v>4717.79</v>
      </c>
      <c r="J7" s="301">
        <f t="shared" si="2"/>
        <v>7485.2434081037254</v>
      </c>
      <c r="K7" s="302"/>
    </row>
    <row r="8" spans="1:11" ht="12.75">
      <c r="A8" s="299">
        <v>44691</v>
      </c>
      <c r="B8" s="300">
        <v>952863652</v>
      </c>
      <c r="C8" s="300" t="s">
        <v>74</v>
      </c>
      <c r="D8" s="301">
        <f>PRESUPUESTO!D6</f>
        <v>1411.4841975373315</v>
      </c>
      <c r="E8" s="301">
        <v>555.02</v>
      </c>
      <c r="F8" s="301">
        <v>0</v>
      </c>
      <c r="G8" s="301">
        <v>0</v>
      </c>
      <c r="H8" s="301">
        <v>0</v>
      </c>
      <c r="I8" s="301">
        <f t="shared" si="1"/>
        <v>555.02</v>
      </c>
      <c r="J8" s="301">
        <f t="shared" si="2"/>
        <v>856.46419753733153</v>
      </c>
      <c r="K8" s="302"/>
    </row>
    <row r="9" spans="1:11" ht="12.75">
      <c r="A9" s="299">
        <v>44682</v>
      </c>
      <c r="B9" s="300" t="s">
        <v>303</v>
      </c>
      <c r="C9" s="300" t="s">
        <v>75</v>
      </c>
      <c r="D9" s="301">
        <f>PRESUPUESTO!D7</f>
        <v>36602.500000000015</v>
      </c>
      <c r="E9" s="301">
        <f>3620.24</f>
        <v>3620.24</v>
      </c>
      <c r="F9" s="301">
        <v>0</v>
      </c>
      <c r="G9" s="301">
        <v>0</v>
      </c>
      <c r="H9" s="301">
        <v>0</v>
      </c>
      <c r="I9" s="301">
        <f t="shared" si="1"/>
        <v>3620.24</v>
      </c>
      <c r="J9" s="301">
        <f t="shared" si="2"/>
        <v>32982.260000000017</v>
      </c>
      <c r="K9" s="302"/>
    </row>
    <row r="10" spans="1:11" ht="12.75">
      <c r="A10" s="299"/>
      <c r="B10" s="300"/>
      <c r="C10" s="300" t="s">
        <v>78</v>
      </c>
      <c r="D10" s="301">
        <f>PRESUPUESTO!D8</f>
        <v>16524.941073473798</v>
      </c>
      <c r="E10" s="301">
        <v>0</v>
      </c>
      <c r="F10" s="301">
        <v>0</v>
      </c>
      <c r="G10" s="301">
        <v>0</v>
      </c>
      <c r="H10" s="301">
        <v>0</v>
      </c>
      <c r="I10" s="301">
        <f t="shared" si="1"/>
        <v>0</v>
      </c>
      <c r="J10" s="301">
        <f t="shared" si="2"/>
        <v>16524.941073473798</v>
      </c>
      <c r="K10" s="302"/>
    </row>
    <row r="11" spans="1:11" ht="12.75">
      <c r="A11" s="299">
        <v>44709</v>
      </c>
      <c r="B11" s="300">
        <v>22710544075</v>
      </c>
      <c r="C11" s="300" t="s">
        <v>304</v>
      </c>
      <c r="D11" s="301">
        <f>PRESUPUESTO!D9</f>
        <v>12711.493133441383</v>
      </c>
      <c r="E11" s="301">
        <v>0</v>
      </c>
      <c r="F11" s="301">
        <v>0</v>
      </c>
      <c r="G11" s="301">
        <v>4684</v>
      </c>
      <c r="H11" s="301">
        <v>0</v>
      </c>
      <c r="I11" s="301">
        <f t="shared" si="1"/>
        <v>4684</v>
      </c>
      <c r="J11" s="301">
        <f t="shared" si="2"/>
        <v>8027.4931334413832</v>
      </c>
      <c r="K11" s="302"/>
    </row>
    <row r="12" spans="1:11" ht="12.75">
      <c r="A12" s="299">
        <v>44676</v>
      </c>
      <c r="B12" s="300">
        <v>858414</v>
      </c>
      <c r="C12" s="300" t="s">
        <v>305</v>
      </c>
      <c r="D12" s="301">
        <f>PRESUPUESTO!D10</f>
        <v>12711.493133441383</v>
      </c>
      <c r="E12" s="301">
        <v>1967</v>
      </c>
      <c r="F12" s="301">
        <v>0</v>
      </c>
      <c r="G12" s="301">
        <v>0</v>
      </c>
      <c r="H12" s="301">
        <v>0</v>
      </c>
      <c r="I12" s="301">
        <f t="shared" si="1"/>
        <v>1967</v>
      </c>
      <c r="J12" s="301">
        <f t="shared" si="2"/>
        <v>10744.493133441383</v>
      </c>
      <c r="K12" s="302"/>
    </row>
    <row r="13" spans="1:11" ht="12.75">
      <c r="A13" s="299"/>
      <c r="B13" s="300"/>
      <c r="C13" s="300" t="s">
        <v>84</v>
      </c>
      <c r="D13" s="301">
        <f>PRESUPUESTO!D11</f>
        <v>3813.4479400324144</v>
      </c>
      <c r="E13" s="301">
        <v>0</v>
      </c>
      <c r="F13" s="301">
        <v>0</v>
      </c>
      <c r="G13" s="301">
        <v>0</v>
      </c>
      <c r="H13" s="301">
        <v>0</v>
      </c>
      <c r="I13" s="301">
        <f t="shared" si="1"/>
        <v>0</v>
      </c>
      <c r="J13" s="301">
        <f t="shared" si="2"/>
        <v>3813.4479400324144</v>
      </c>
      <c r="K13" s="302"/>
    </row>
    <row r="14" spans="1:11" ht="12.75">
      <c r="A14" s="299">
        <v>44682</v>
      </c>
      <c r="B14" s="300" t="s">
        <v>171</v>
      </c>
      <c r="C14" s="300" t="s">
        <v>86</v>
      </c>
      <c r="D14" s="301">
        <f>PRESUPUESTO!D12</f>
        <v>1271.1493133441384</v>
      </c>
      <c r="E14" s="301">
        <v>360</v>
      </c>
      <c r="F14" s="301">
        <v>0</v>
      </c>
      <c r="G14" s="301">
        <v>0</v>
      </c>
      <c r="H14" s="301">
        <v>0</v>
      </c>
      <c r="I14" s="301">
        <f t="shared" si="1"/>
        <v>360</v>
      </c>
      <c r="J14" s="301">
        <f t="shared" si="2"/>
        <v>911.14931334413836</v>
      </c>
      <c r="K14" s="302"/>
    </row>
    <row r="15" spans="1:11" ht="12.75">
      <c r="A15" s="299"/>
      <c r="B15" s="300"/>
      <c r="C15" s="300" t="s">
        <v>87</v>
      </c>
      <c r="D15" s="301">
        <f>PRESUPUESTO!D13</f>
        <v>2542.2986266882767</v>
      </c>
      <c r="E15" s="301">
        <v>0</v>
      </c>
      <c r="F15" s="301">
        <v>0</v>
      </c>
      <c r="G15" s="301">
        <v>0</v>
      </c>
      <c r="H15" s="301">
        <v>0</v>
      </c>
      <c r="I15" s="301">
        <f t="shared" si="1"/>
        <v>0</v>
      </c>
      <c r="J15" s="301">
        <f t="shared" si="2"/>
        <v>2542.2986266882767</v>
      </c>
      <c r="K15" s="302"/>
    </row>
    <row r="16" spans="1:11" ht="12.75">
      <c r="A16" s="299"/>
      <c r="B16" s="300"/>
      <c r="C16" s="300" t="s">
        <v>88</v>
      </c>
      <c r="D16" s="301">
        <f>PRESUPUESTO!D14</f>
        <v>2542.2986266882767</v>
      </c>
      <c r="E16" s="301">
        <v>0</v>
      </c>
      <c r="F16" s="301">
        <v>0</v>
      </c>
      <c r="G16" s="301">
        <v>0</v>
      </c>
      <c r="H16" s="301">
        <v>0</v>
      </c>
      <c r="I16" s="301">
        <f t="shared" si="1"/>
        <v>0</v>
      </c>
      <c r="J16" s="301">
        <f t="shared" si="2"/>
        <v>2542.2986266882767</v>
      </c>
      <c r="K16" s="302"/>
    </row>
    <row r="17" spans="1:11" ht="12.75">
      <c r="A17" s="299"/>
      <c r="B17" s="300"/>
      <c r="C17" s="300" t="s">
        <v>306</v>
      </c>
      <c r="D17" s="301">
        <f>PRESUPUESTO!D15</f>
        <v>6355.7465667206916</v>
      </c>
      <c r="E17" s="301">
        <v>0</v>
      </c>
      <c r="F17" s="301">
        <v>0</v>
      </c>
      <c r="G17" s="301">
        <v>0</v>
      </c>
      <c r="H17" s="301">
        <v>0</v>
      </c>
      <c r="I17" s="301">
        <f t="shared" si="1"/>
        <v>0</v>
      </c>
      <c r="J17" s="301">
        <f t="shared" si="2"/>
        <v>6355.7465667206916</v>
      </c>
      <c r="K17" s="302"/>
    </row>
    <row r="18" spans="1:11" ht="12.75">
      <c r="A18" s="299"/>
      <c r="B18" s="300"/>
      <c r="C18" s="300" t="s">
        <v>307</v>
      </c>
      <c r="D18" s="301">
        <f>PRESUPUESTO!D16</f>
        <v>21670</v>
      </c>
      <c r="E18" s="301"/>
      <c r="F18" s="301"/>
      <c r="G18" s="301"/>
      <c r="H18" s="301"/>
      <c r="I18" s="301"/>
      <c r="J18" s="301">
        <f t="shared" si="2"/>
        <v>21670</v>
      </c>
      <c r="K18" s="302"/>
    </row>
    <row r="19" spans="1:11" ht="12.75">
      <c r="A19" s="299">
        <v>44688</v>
      </c>
      <c r="B19" s="300" t="s">
        <v>308</v>
      </c>
      <c r="C19" s="300" t="s">
        <v>309</v>
      </c>
      <c r="D19" s="301">
        <f>PRESUPUESTO!D17</f>
        <v>2796.5284893571043</v>
      </c>
      <c r="E19" s="301">
        <v>0</v>
      </c>
      <c r="F19" s="301">
        <v>0</v>
      </c>
      <c r="G19" s="301">
        <v>20.29</v>
      </c>
      <c r="H19" s="301">
        <v>0</v>
      </c>
      <c r="I19" s="301">
        <f t="shared" ref="I19:I23" si="3">SUM(E19:H19)</f>
        <v>20.29</v>
      </c>
      <c r="J19" s="301">
        <f t="shared" si="2"/>
        <v>2776.2384893571043</v>
      </c>
      <c r="K19" s="302"/>
    </row>
    <row r="20" spans="1:11" ht="12.75">
      <c r="A20" s="299" t="s">
        <v>310</v>
      </c>
      <c r="B20" s="300"/>
      <c r="C20" s="300" t="s">
        <v>311</v>
      </c>
      <c r="D20" s="301">
        <f>PRESUPUESTO!D18</f>
        <v>2796.5284893571043</v>
      </c>
      <c r="E20" s="301">
        <v>0</v>
      </c>
      <c r="F20" s="301"/>
      <c r="G20" s="301">
        <v>0</v>
      </c>
      <c r="H20" s="301">
        <v>0</v>
      </c>
      <c r="I20" s="301">
        <f t="shared" si="3"/>
        <v>0</v>
      </c>
      <c r="J20" s="301">
        <f t="shared" si="2"/>
        <v>2796.5284893571043</v>
      </c>
      <c r="K20" s="302"/>
    </row>
    <row r="21" spans="1:11" ht="12.75">
      <c r="A21" s="299"/>
      <c r="B21" s="300"/>
      <c r="C21" s="300" t="s">
        <v>312</v>
      </c>
      <c r="D21" s="301">
        <f>PRESUPUESTO!D19</f>
        <v>2796.5284893571043</v>
      </c>
      <c r="E21" s="301">
        <v>0</v>
      </c>
      <c r="F21" s="301"/>
      <c r="G21" s="301">
        <v>0</v>
      </c>
      <c r="H21" s="301">
        <v>0</v>
      </c>
      <c r="I21" s="301">
        <f t="shared" si="3"/>
        <v>0</v>
      </c>
      <c r="J21" s="301">
        <f t="shared" si="2"/>
        <v>2796.5284893571043</v>
      </c>
      <c r="K21" s="302"/>
    </row>
    <row r="22" spans="1:11" ht="12.75">
      <c r="A22" s="299">
        <v>44682</v>
      </c>
      <c r="B22" s="300"/>
      <c r="C22" s="300" t="s">
        <v>96</v>
      </c>
      <c r="D22" s="301">
        <f>PRESUPUESTO!D20</f>
        <v>6355.7465667206916</v>
      </c>
      <c r="E22" s="301">
        <v>0</v>
      </c>
      <c r="F22" s="301"/>
      <c r="G22" s="301">
        <v>0</v>
      </c>
      <c r="H22" s="301">
        <v>0</v>
      </c>
      <c r="I22" s="301">
        <f t="shared" si="3"/>
        <v>0</v>
      </c>
      <c r="J22" s="301">
        <f t="shared" si="2"/>
        <v>6355.7465667206916</v>
      </c>
      <c r="K22" s="302"/>
    </row>
    <row r="23" spans="1:11" ht="12.75">
      <c r="A23" s="299"/>
      <c r="B23" s="300"/>
      <c r="C23" s="300" t="s">
        <v>99</v>
      </c>
      <c r="D23" s="301">
        <f>PRESUPUESTO!D21</f>
        <v>6355.7465667206916</v>
      </c>
      <c r="E23" s="301">
        <v>0</v>
      </c>
      <c r="F23" s="301">
        <v>0</v>
      </c>
      <c r="G23" s="301">
        <v>0</v>
      </c>
      <c r="H23" s="301">
        <v>0</v>
      </c>
      <c r="I23" s="301">
        <f t="shared" si="3"/>
        <v>0</v>
      </c>
      <c r="J23" s="301">
        <f t="shared" si="2"/>
        <v>6355.7465667206916</v>
      </c>
      <c r="K23" s="302"/>
    </row>
    <row r="24" spans="1:11" ht="12.75">
      <c r="A24" s="299"/>
      <c r="B24" s="300"/>
      <c r="C24" s="300"/>
      <c r="D24" s="301"/>
      <c r="E24" s="301"/>
      <c r="F24" s="301"/>
      <c r="G24" s="301"/>
      <c r="H24" s="301"/>
      <c r="I24" s="301"/>
      <c r="J24" s="301"/>
      <c r="K24" s="302"/>
    </row>
    <row r="25" spans="1:11" ht="12.75">
      <c r="A25" s="493" t="s">
        <v>313</v>
      </c>
      <c r="B25" s="456"/>
      <c r="C25" s="456"/>
      <c r="D25" s="456"/>
      <c r="E25" s="456"/>
      <c r="F25" s="456"/>
      <c r="G25" s="456"/>
      <c r="H25" s="456"/>
      <c r="I25" s="456"/>
      <c r="J25" s="456"/>
      <c r="K25" s="298"/>
    </row>
    <row r="26" spans="1:11" ht="12.75">
      <c r="A26" s="299">
        <v>44721</v>
      </c>
      <c r="B26" s="300">
        <v>27759573</v>
      </c>
      <c r="C26" s="300" t="s">
        <v>71</v>
      </c>
      <c r="D26" s="301">
        <f>PRESUPUESTO!G4</f>
        <v>98500</v>
      </c>
      <c r="E26" s="301">
        <v>65000</v>
      </c>
      <c r="F26" s="301">
        <v>0</v>
      </c>
      <c r="G26" s="301">
        <v>0</v>
      </c>
      <c r="H26" s="301">
        <v>0</v>
      </c>
      <c r="I26" s="301">
        <f t="shared" ref="I26:I37" si="4">SUM(E26:H26)</f>
        <v>65000</v>
      </c>
      <c r="J26" s="301">
        <f t="shared" ref="J26:J43" si="5">D26-I26</f>
        <v>33500</v>
      </c>
      <c r="K26" s="302"/>
    </row>
    <row r="27" spans="1:11" ht="12.75">
      <c r="A27" s="299">
        <v>45083</v>
      </c>
      <c r="B27" s="300">
        <v>1522260</v>
      </c>
      <c r="C27" s="300" t="s">
        <v>73</v>
      </c>
      <c r="D27" s="301">
        <f>PRESUPUESTO!G5</f>
        <v>13423.336748914098</v>
      </c>
      <c r="E27" s="301">
        <v>4717.79</v>
      </c>
      <c r="F27" s="301">
        <v>0</v>
      </c>
      <c r="G27" s="301">
        <v>0</v>
      </c>
      <c r="H27" s="301">
        <v>0</v>
      </c>
      <c r="I27" s="301">
        <f t="shared" si="4"/>
        <v>4717.79</v>
      </c>
      <c r="J27" s="301">
        <f t="shared" si="5"/>
        <v>8705.5467489140974</v>
      </c>
      <c r="K27" s="302" t="s">
        <v>314</v>
      </c>
    </row>
    <row r="28" spans="1:11" ht="12.75">
      <c r="A28" s="299">
        <v>44729</v>
      </c>
      <c r="B28" s="300">
        <v>23263669720</v>
      </c>
      <c r="C28" s="300" t="s">
        <v>74</v>
      </c>
      <c r="D28" s="301">
        <f>PRESUPUESTO!G6</f>
        <v>1552.6326172910649</v>
      </c>
      <c r="E28" s="301">
        <v>0</v>
      </c>
      <c r="F28" s="301">
        <v>0</v>
      </c>
      <c r="G28" s="301">
        <v>555.02</v>
      </c>
      <c r="H28" s="301">
        <v>0</v>
      </c>
      <c r="I28" s="301">
        <f t="shared" si="4"/>
        <v>555.02</v>
      </c>
      <c r="J28" s="301">
        <f t="shared" si="5"/>
        <v>997.61261729106491</v>
      </c>
      <c r="K28" s="302"/>
    </row>
    <row r="29" spans="1:11" ht="12.75">
      <c r="A29" s="299">
        <v>44733</v>
      </c>
      <c r="B29" s="300">
        <v>23366844852</v>
      </c>
      <c r="C29" s="300" t="s">
        <v>75</v>
      </c>
      <c r="D29" s="301">
        <f>PRESUPUESTO!G7</f>
        <v>40262.750000000022</v>
      </c>
      <c r="E29" s="301">
        <v>0</v>
      </c>
      <c r="F29" s="301">
        <v>0</v>
      </c>
      <c r="G29" s="301">
        <v>7056.74</v>
      </c>
      <c r="H29" s="301">
        <v>0</v>
      </c>
      <c r="I29" s="301">
        <f t="shared" si="4"/>
        <v>7056.74</v>
      </c>
      <c r="J29" s="301">
        <f t="shared" si="5"/>
        <v>33206.010000000024</v>
      </c>
      <c r="K29" s="302"/>
    </row>
    <row r="30" spans="1:11" ht="12.75">
      <c r="A30" s="299">
        <v>44739</v>
      </c>
      <c r="B30" s="300">
        <v>23514419160</v>
      </c>
      <c r="C30" s="300" t="s">
        <v>78</v>
      </c>
      <c r="D30" s="301">
        <f>PRESUPUESTO!G8</f>
        <v>18177.43518082118</v>
      </c>
      <c r="E30" s="301">
        <v>15465.22</v>
      </c>
      <c r="F30" s="301">
        <v>0</v>
      </c>
      <c r="G30" s="301">
        <v>0</v>
      </c>
      <c r="H30" s="301"/>
      <c r="I30" s="301">
        <f t="shared" si="4"/>
        <v>15465.22</v>
      </c>
      <c r="J30" s="301">
        <f t="shared" si="5"/>
        <v>2712.2151808211802</v>
      </c>
      <c r="K30" s="303" t="s">
        <v>315</v>
      </c>
    </row>
    <row r="31" spans="1:11" ht="12.75">
      <c r="A31" s="299">
        <v>44735</v>
      </c>
      <c r="B31" s="300" t="s">
        <v>316</v>
      </c>
      <c r="C31" s="300" t="s">
        <v>304</v>
      </c>
      <c r="D31" s="301">
        <f>PRESUPUESTO!G9</f>
        <v>13982.642446785523</v>
      </c>
      <c r="E31" s="301">
        <v>0</v>
      </c>
      <c r="F31" s="301">
        <v>0</v>
      </c>
      <c r="G31" s="301">
        <f>10555+4684</f>
        <v>15239</v>
      </c>
      <c r="H31" s="301">
        <v>0</v>
      </c>
      <c r="I31" s="301">
        <f t="shared" si="4"/>
        <v>15239</v>
      </c>
      <c r="J31" s="301">
        <f t="shared" si="5"/>
        <v>-1256.3575532144769</v>
      </c>
      <c r="K31" s="302"/>
    </row>
    <row r="32" spans="1:11" ht="12.75">
      <c r="A32" s="299">
        <v>44713</v>
      </c>
      <c r="B32" s="300">
        <v>1219183</v>
      </c>
      <c r="C32" s="300" t="s">
        <v>305</v>
      </c>
      <c r="D32" s="301">
        <f>PRESUPUESTO!G10</f>
        <v>13982.642446785523</v>
      </c>
      <c r="E32" s="301">
        <v>0</v>
      </c>
      <c r="F32" s="304">
        <v>4353</v>
      </c>
      <c r="G32" s="301">
        <v>0</v>
      </c>
      <c r="H32" s="301">
        <v>0</v>
      </c>
      <c r="I32" s="301">
        <f t="shared" si="4"/>
        <v>4353</v>
      </c>
      <c r="J32" s="301">
        <f t="shared" si="5"/>
        <v>9629.6424467855231</v>
      </c>
      <c r="K32" s="302"/>
    </row>
    <row r="33" spans="1:11" ht="12.75">
      <c r="A33" s="299">
        <v>44713</v>
      </c>
      <c r="B33" s="300">
        <v>3823</v>
      </c>
      <c r="C33" s="300" t="s">
        <v>84</v>
      </c>
      <c r="D33" s="301">
        <f>PRESUPUESTO!G11</f>
        <v>4194.7927340356564</v>
      </c>
      <c r="E33" s="301">
        <v>1500</v>
      </c>
      <c r="F33" s="301">
        <v>0</v>
      </c>
      <c r="G33" s="301">
        <v>0</v>
      </c>
      <c r="H33" s="301">
        <v>0</v>
      </c>
      <c r="I33" s="301">
        <f t="shared" si="4"/>
        <v>1500</v>
      </c>
      <c r="J33" s="301">
        <f t="shared" si="5"/>
        <v>2694.7927340356564</v>
      </c>
      <c r="K33" s="302"/>
    </row>
    <row r="34" spans="1:11" ht="12.75">
      <c r="A34" s="299">
        <v>44713</v>
      </c>
      <c r="B34" s="300" t="s">
        <v>171</v>
      </c>
      <c r="C34" s="300" t="s">
        <v>86</v>
      </c>
      <c r="D34" s="301">
        <f>PRESUPUESTO!G12</f>
        <v>1398.2642446785524</v>
      </c>
      <c r="E34" s="301">
        <v>360</v>
      </c>
      <c r="F34" s="301">
        <v>0</v>
      </c>
      <c r="G34" s="301">
        <v>0</v>
      </c>
      <c r="H34" s="301">
        <v>0</v>
      </c>
      <c r="I34" s="301">
        <f t="shared" si="4"/>
        <v>360</v>
      </c>
      <c r="J34" s="301">
        <f t="shared" si="5"/>
        <v>1038.2642446785524</v>
      </c>
      <c r="K34" s="302"/>
    </row>
    <row r="35" spans="1:11" ht="12.75">
      <c r="A35" s="299"/>
      <c r="B35" s="300"/>
      <c r="C35" s="300" t="s">
        <v>87</v>
      </c>
      <c r="D35" s="301">
        <f>PRESUPUESTO!G13</f>
        <v>2796.5284893571047</v>
      </c>
      <c r="E35" s="301">
        <v>0</v>
      </c>
      <c r="F35" s="301">
        <v>0</v>
      </c>
      <c r="G35" s="301">
        <v>0</v>
      </c>
      <c r="H35" s="301">
        <v>0</v>
      </c>
      <c r="I35" s="301">
        <f t="shared" si="4"/>
        <v>0</v>
      </c>
      <c r="J35" s="301">
        <f t="shared" si="5"/>
        <v>2796.5284893571047</v>
      </c>
      <c r="K35" s="302"/>
    </row>
    <row r="36" spans="1:11" ht="12.75">
      <c r="A36" s="299"/>
      <c r="B36" s="300"/>
      <c r="C36" s="300" t="s">
        <v>88</v>
      </c>
      <c r="D36" s="301">
        <f>PRESUPUESTO!G14</f>
        <v>2796.5284893571047</v>
      </c>
      <c r="E36" s="301">
        <v>0</v>
      </c>
      <c r="F36" s="301">
        <v>0</v>
      </c>
      <c r="G36" s="301">
        <v>0</v>
      </c>
      <c r="H36" s="301">
        <v>0</v>
      </c>
      <c r="I36" s="301">
        <f t="shared" si="4"/>
        <v>0</v>
      </c>
      <c r="J36" s="301">
        <f t="shared" si="5"/>
        <v>2796.5284893571047</v>
      </c>
      <c r="K36" s="302"/>
    </row>
    <row r="37" spans="1:11" ht="12.75">
      <c r="A37" s="299"/>
      <c r="B37" s="300"/>
      <c r="C37" s="300" t="s">
        <v>306</v>
      </c>
      <c r="D37" s="301">
        <f>PRESUPUESTO!G15</f>
        <v>6991.3212233927616</v>
      </c>
      <c r="E37" s="301">
        <v>0</v>
      </c>
      <c r="F37" s="301">
        <v>0</v>
      </c>
      <c r="G37" s="301">
        <v>0</v>
      </c>
      <c r="H37" s="301">
        <v>0</v>
      </c>
      <c r="I37" s="301">
        <f t="shared" si="4"/>
        <v>0</v>
      </c>
      <c r="J37" s="301">
        <f t="shared" si="5"/>
        <v>6991.3212233927616</v>
      </c>
      <c r="K37" s="302"/>
    </row>
    <row r="38" spans="1:11" ht="12.75">
      <c r="A38" s="299"/>
      <c r="B38" s="300"/>
      <c r="C38" s="300" t="s">
        <v>307</v>
      </c>
      <c r="D38" s="301">
        <f>PRESUPUESTO!G16</f>
        <v>19700</v>
      </c>
      <c r="E38" s="301"/>
      <c r="F38" s="301"/>
      <c r="G38" s="301"/>
      <c r="H38" s="301"/>
      <c r="I38" s="301"/>
      <c r="J38" s="301">
        <f t="shared" si="5"/>
        <v>19700</v>
      </c>
      <c r="K38" s="302"/>
    </row>
    <row r="39" spans="1:11" ht="12.75">
      <c r="A39" s="299">
        <v>44719</v>
      </c>
      <c r="B39" s="300" t="s">
        <v>317</v>
      </c>
      <c r="C39" s="300" t="s">
        <v>309</v>
      </c>
      <c r="D39" s="301">
        <f>PRESUPUESTO!G17</f>
        <v>3076.1813382928149</v>
      </c>
      <c r="E39" s="301">
        <v>0</v>
      </c>
      <c r="F39" s="301">
        <v>0</v>
      </c>
      <c r="G39" s="301">
        <v>162.78</v>
      </c>
      <c r="H39" s="301">
        <v>0</v>
      </c>
      <c r="I39" s="301">
        <f t="shared" ref="I39:I43" si="6">SUM(E39:H39)</f>
        <v>162.78</v>
      </c>
      <c r="J39" s="301">
        <f t="shared" si="5"/>
        <v>2913.4013382928147</v>
      </c>
      <c r="K39" s="302"/>
    </row>
    <row r="40" spans="1:11" ht="12.75">
      <c r="A40" s="299">
        <v>44712</v>
      </c>
      <c r="B40" s="300"/>
      <c r="C40" s="300" t="s">
        <v>311</v>
      </c>
      <c r="D40" s="301">
        <f>PRESUPUESTO!G18</f>
        <v>3076.1813382928149</v>
      </c>
      <c r="E40" s="301">
        <v>0</v>
      </c>
      <c r="F40" s="301">
        <v>41.58</v>
      </c>
      <c r="G40" s="301">
        <v>0</v>
      </c>
      <c r="H40" s="301">
        <v>0</v>
      </c>
      <c r="I40" s="301">
        <f t="shared" si="6"/>
        <v>41.58</v>
      </c>
      <c r="J40" s="301">
        <f t="shared" si="5"/>
        <v>3034.6013382928149</v>
      </c>
      <c r="K40" s="302"/>
    </row>
    <row r="41" spans="1:11" ht="12.75">
      <c r="A41" s="299">
        <v>44712</v>
      </c>
      <c r="B41" s="305"/>
      <c r="C41" s="300" t="s">
        <v>312</v>
      </c>
      <c r="D41" s="301">
        <f>PRESUPUESTO!G19</f>
        <v>3076.1813382928149</v>
      </c>
      <c r="E41" s="301">
        <v>0</v>
      </c>
      <c r="F41" s="301">
        <v>0</v>
      </c>
      <c r="G41" s="301">
        <v>0</v>
      </c>
      <c r="H41" s="301">
        <v>0</v>
      </c>
      <c r="I41" s="301">
        <f t="shared" si="6"/>
        <v>0</v>
      </c>
      <c r="J41" s="301">
        <f t="shared" si="5"/>
        <v>3076.1813382928149</v>
      </c>
      <c r="K41" s="302"/>
    </row>
    <row r="42" spans="1:11" ht="12.75">
      <c r="A42" s="299">
        <v>44712</v>
      </c>
      <c r="B42" s="300" t="s">
        <v>318</v>
      </c>
      <c r="C42" s="300" t="s">
        <v>96</v>
      </c>
      <c r="D42" s="301">
        <f>PRESUPUESTO!G20</f>
        <v>6991.3212233927616</v>
      </c>
      <c r="E42" s="301">
        <v>0</v>
      </c>
      <c r="F42" s="301">
        <v>209.74</v>
      </c>
      <c r="G42" s="301">
        <v>0</v>
      </c>
      <c r="H42" s="301">
        <v>0</v>
      </c>
      <c r="I42" s="301">
        <f t="shared" si="6"/>
        <v>209.74</v>
      </c>
      <c r="J42" s="301">
        <f t="shared" si="5"/>
        <v>6781.5812233927618</v>
      </c>
      <c r="K42" s="302"/>
    </row>
    <row r="43" spans="1:11" ht="12.75">
      <c r="A43" s="299"/>
      <c r="B43" s="300"/>
      <c r="C43" s="300" t="s">
        <v>99</v>
      </c>
      <c r="D43" s="301">
        <f>PRESUPUESTO!G21</f>
        <v>6991.3212233927616</v>
      </c>
      <c r="E43" s="301">
        <v>0</v>
      </c>
      <c r="F43" s="301">
        <v>0</v>
      </c>
      <c r="G43" s="301">
        <v>0</v>
      </c>
      <c r="H43" s="301">
        <v>0</v>
      </c>
      <c r="I43" s="301">
        <f t="shared" si="6"/>
        <v>0</v>
      </c>
      <c r="J43" s="301">
        <f t="shared" si="5"/>
        <v>6991.3212233927616</v>
      </c>
      <c r="K43" s="302"/>
    </row>
    <row r="44" spans="1:11" ht="12.75">
      <c r="A44" s="493" t="s">
        <v>319</v>
      </c>
      <c r="B44" s="456"/>
      <c r="C44" s="456"/>
      <c r="D44" s="456"/>
      <c r="E44" s="456"/>
      <c r="F44" s="456"/>
      <c r="G44" s="456"/>
      <c r="H44" s="456"/>
      <c r="I44" s="456"/>
      <c r="J44" s="456"/>
      <c r="K44" s="298"/>
    </row>
    <row r="45" spans="1:11" ht="12.75">
      <c r="A45" s="299">
        <v>44750</v>
      </c>
      <c r="B45" s="302" t="s">
        <v>320</v>
      </c>
      <c r="C45" s="300" t="s">
        <v>71</v>
      </c>
      <c r="D45" s="301">
        <f>PRESUPUESTO!J4</f>
        <v>98500</v>
      </c>
      <c r="E45" s="301">
        <v>43870</v>
      </c>
      <c r="F45" s="301">
        <v>0</v>
      </c>
      <c r="G45" s="301">
        <v>20000</v>
      </c>
      <c r="H45" s="301">
        <v>0</v>
      </c>
      <c r="I45" s="301">
        <f t="shared" ref="I45:I56" si="7">SUM(E45:H45)</f>
        <v>63870</v>
      </c>
      <c r="J45" s="301">
        <f t="shared" ref="J45:J62" si="8">D45-I45</f>
        <v>34630</v>
      </c>
      <c r="K45" s="302"/>
    </row>
    <row r="46" spans="1:11" ht="12.75">
      <c r="A46" s="299">
        <v>44748</v>
      </c>
      <c r="B46" s="302" t="s">
        <v>321</v>
      </c>
      <c r="C46" s="300" t="s">
        <v>73</v>
      </c>
      <c r="D46" s="301">
        <f>PRESUPUESTO!J5</f>
        <v>14765.67042380551</v>
      </c>
      <c r="E46" s="301">
        <v>0</v>
      </c>
      <c r="F46" s="301">
        <v>0</v>
      </c>
      <c r="G46" s="301">
        <v>6085.95</v>
      </c>
      <c r="H46" s="301">
        <v>0</v>
      </c>
      <c r="I46" s="301">
        <f t="shared" si="7"/>
        <v>6085.95</v>
      </c>
      <c r="J46" s="301">
        <f t="shared" si="8"/>
        <v>8679.7204238055092</v>
      </c>
      <c r="K46" s="302"/>
    </row>
    <row r="47" spans="1:11" ht="12.75">
      <c r="A47" s="299">
        <v>44743</v>
      </c>
      <c r="B47" s="302"/>
      <c r="C47" s="300" t="s">
        <v>74</v>
      </c>
      <c r="D47" s="301">
        <f>PRESUPUESTO!J6</f>
        <v>1707.8958790201716</v>
      </c>
      <c r="E47" s="301">
        <v>0</v>
      </c>
      <c r="F47" s="301">
        <v>1869.79</v>
      </c>
      <c r="G47" s="301">
        <v>0</v>
      </c>
      <c r="H47" s="301">
        <v>0</v>
      </c>
      <c r="I47" s="301">
        <f t="shared" si="7"/>
        <v>1869.79</v>
      </c>
      <c r="J47" s="301">
        <f t="shared" si="8"/>
        <v>-161.89412097982836</v>
      </c>
      <c r="K47" s="302"/>
    </row>
    <row r="48" spans="1:11" ht="12.75">
      <c r="A48" s="299">
        <v>44757</v>
      </c>
      <c r="B48" s="302" t="s">
        <v>322</v>
      </c>
      <c r="C48" s="300" t="s">
        <v>75</v>
      </c>
      <c r="D48" s="301">
        <f>PRESUPUESTO!J7</f>
        <v>44289.025000000031</v>
      </c>
      <c r="E48" s="301">
        <v>0</v>
      </c>
      <c r="F48" s="301">
        <v>0</v>
      </c>
      <c r="G48" s="301">
        <v>7653.85</v>
      </c>
      <c r="H48" s="301">
        <v>0</v>
      </c>
      <c r="I48" s="301">
        <f t="shared" si="7"/>
        <v>7653.85</v>
      </c>
      <c r="J48" s="301">
        <f t="shared" si="8"/>
        <v>36635.175000000032</v>
      </c>
      <c r="K48" s="302"/>
    </row>
    <row r="49" spans="1:11" ht="12.75">
      <c r="A49" s="299">
        <v>44757</v>
      </c>
      <c r="B49" s="302" t="s">
        <v>323</v>
      </c>
      <c r="C49" s="300" t="s">
        <v>78</v>
      </c>
      <c r="D49" s="301">
        <f>PRESUPUESTO!J8</f>
        <v>19995.178698903299</v>
      </c>
      <c r="E49" s="301">
        <v>0</v>
      </c>
      <c r="F49" s="301">
        <v>0</v>
      </c>
      <c r="G49" s="301">
        <v>7379.1</v>
      </c>
      <c r="H49" s="301">
        <v>0</v>
      </c>
      <c r="I49" s="301">
        <f t="shared" si="7"/>
        <v>7379.1</v>
      </c>
      <c r="J49" s="301">
        <f t="shared" si="8"/>
        <v>12616.078698903299</v>
      </c>
      <c r="K49" s="302"/>
    </row>
    <row r="50" spans="1:11" ht="12.75">
      <c r="A50" s="299">
        <v>44743</v>
      </c>
      <c r="B50" s="300"/>
      <c r="C50" s="300" t="s">
        <v>304</v>
      </c>
      <c r="D50" s="301">
        <f>PRESUPUESTO!J9</f>
        <v>15380.906691464077</v>
      </c>
      <c r="E50" s="301">
        <v>4684</v>
      </c>
      <c r="F50" s="301">
        <v>0</v>
      </c>
      <c r="G50" s="301">
        <v>0</v>
      </c>
      <c r="H50" s="301">
        <v>0</v>
      </c>
      <c r="I50" s="301">
        <f t="shared" si="7"/>
        <v>4684</v>
      </c>
      <c r="J50" s="301">
        <f t="shared" si="8"/>
        <v>10696.906691464077</v>
      </c>
      <c r="K50" s="302"/>
    </row>
    <row r="51" spans="1:11" ht="12.75">
      <c r="A51" s="299"/>
      <c r="B51" s="300"/>
      <c r="C51" s="300" t="s">
        <v>305</v>
      </c>
      <c r="D51" s="301">
        <f>PRESUPUESTO!J10</f>
        <v>15380.906691464077</v>
      </c>
      <c r="E51" s="301">
        <v>0</v>
      </c>
      <c r="F51" s="301">
        <v>0</v>
      </c>
      <c r="G51" s="301">
        <v>0</v>
      </c>
      <c r="H51" s="301">
        <v>0</v>
      </c>
      <c r="I51" s="301">
        <f t="shared" si="7"/>
        <v>0</v>
      </c>
      <c r="J51" s="301">
        <f t="shared" si="8"/>
        <v>15380.906691464077</v>
      </c>
      <c r="K51" s="302"/>
    </row>
    <row r="52" spans="1:11" ht="12.75">
      <c r="A52" s="299"/>
      <c r="B52" s="300"/>
      <c r="C52" s="300" t="s">
        <v>84</v>
      </c>
      <c r="D52" s="301">
        <f>PRESUPUESTO!J11</f>
        <v>4614.2720074392228</v>
      </c>
      <c r="E52" s="301">
        <v>0</v>
      </c>
      <c r="F52" s="301">
        <v>0</v>
      </c>
      <c r="G52" s="301">
        <v>0</v>
      </c>
      <c r="H52" s="301">
        <v>0</v>
      </c>
      <c r="I52" s="301">
        <f t="shared" si="7"/>
        <v>0</v>
      </c>
      <c r="J52" s="301">
        <f t="shared" si="8"/>
        <v>4614.2720074392228</v>
      </c>
      <c r="K52" s="302"/>
    </row>
    <row r="53" spans="1:11" ht="12.75">
      <c r="A53" s="299"/>
      <c r="B53" s="300"/>
      <c r="C53" s="300" t="s">
        <v>86</v>
      </c>
      <c r="D53" s="301">
        <f>PRESUPUESTO!J12</f>
        <v>1538.0906691464077</v>
      </c>
      <c r="E53" s="301">
        <v>0</v>
      </c>
      <c r="F53" s="301">
        <v>0</v>
      </c>
      <c r="G53" s="301">
        <v>0</v>
      </c>
      <c r="H53" s="301">
        <v>0</v>
      </c>
      <c r="I53" s="301">
        <f t="shared" si="7"/>
        <v>0</v>
      </c>
      <c r="J53" s="301">
        <f t="shared" si="8"/>
        <v>1538.0906691464077</v>
      </c>
      <c r="K53" s="302"/>
    </row>
    <row r="54" spans="1:11" ht="12.75">
      <c r="A54" s="299"/>
      <c r="B54" s="300"/>
      <c r="C54" s="300" t="s">
        <v>87</v>
      </c>
      <c r="D54" s="301">
        <f>PRESUPUESTO!J13</f>
        <v>3076.1813382928153</v>
      </c>
      <c r="E54" s="301">
        <v>0</v>
      </c>
      <c r="F54" s="301">
        <v>0</v>
      </c>
      <c r="G54" s="301">
        <v>0</v>
      </c>
      <c r="H54" s="301">
        <v>0</v>
      </c>
      <c r="I54" s="301">
        <f t="shared" si="7"/>
        <v>0</v>
      </c>
      <c r="J54" s="301">
        <f t="shared" si="8"/>
        <v>3076.1813382928153</v>
      </c>
      <c r="K54" s="302"/>
    </row>
    <row r="55" spans="1:11" ht="12.75">
      <c r="A55" s="299">
        <v>44764</v>
      </c>
      <c r="B55" s="300"/>
      <c r="C55" s="300" t="s">
        <v>88</v>
      </c>
      <c r="D55" s="301">
        <f>PRESUPUESTO!J14</f>
        <v>3076.1813382928153</v>
      </c>
      <c r="E55" s="301">
        <v>2250</v>
      </c>
      <c r="F55" s="301">
        <v>0</v>
      </c>
      <c r="G55" s="301">
        <v>0</v>
      </c>
      <c r="H55" s="301"/>
      <c r="I55" s="301">
        <f t="shared" si="7"/>
        <v>2250</v>
      </c>
      <c r="J55" s="301">
        <f t="shared" si="8"/>
        <v>826.18133829281533</v>
      </c>
      <c r="K55" s="302"/>
    </row>
    <row r="56" spans="1:11" ht="12.75">
      <c r="A56" s="299"/>
      <c r="B56" s="300"/>
      <c r="C56" s="300" t="s">
        <v>306</v>
      </c>
      <c r="D56" s="301">
        <f>PRESUPUESTO!J15</f>
        <v>7690.4533457320385</v>
      </c>
      <c r="E56" s="301">
        <v>0</v>
      </c>
      <c r="F56" s="301">
        <v>0</v>
      </c>
      <c r="G56" s="301">
        <v>0</v>
      </c>
      <c r="H56" s="301">
        <v>0</v>
      </c>
      <c r="I56" s="301">
        <f t="shared" si="7"/>
        <v>0</v>
      </c>
      <c r="J56" s="301">
        <f t="shared" si="8"/>
        <v>7690.4533457320385</v>
      </c>
      <c r="K56" s="302"/>
    </row>
    <row r="57" spans="1:11" ht="12.75">
      <c r="A57" s="299"/>
      <c r="B57" s="300"/>
      <c r="C57" s="300" t="s">
        <v>307</v>
      </c>
      <c r="D57" s="301">
        <f>PRESUPUESTO!J16</f>
        <v>19700</v>
      </c>
      <c r="E57" s="301"/>
      <c r="F57" s="301"/>
      <c r="G57" s="301"/>
      <c r="H57" s="301"/>
      <c r="I57" s="301"/>
      <c r="J57" s="301">
        <f t="shared" si="8"/>
        <v>19700</v>
      </c>
      <c r="K57" s="302"/>
    </row>
    <row r="58" spans="1:11" ht="12.75">
      <c r="A58" s="299">
        <v>44749</v>
      </c>
      <c r="B58" s="300"/>
      <c r="C58" s="300" t="s">
        <v>309</v>
      </c>
      <c r="D58" s="301">
        <f>PRESUPUESTO!J17</f>
        <v>3383.7994721220966</v>
      </c>
      <c r="E58" s="301">
        <v>0</v>
      </c>
      <c r="F58" s="301">
        <v>0</v>
      </c>
      <c r="G58" s="301">
        <v>381.8</v>
      </c>
      <c r="H58" s="301">
        <v>0</v>
      </c>
      <c r="I58" s="301">
        <f t="shared" ref="I58:I62" si="9">SUM(E58:H58)</f>
        <v>381.8</v>
      </c>
      <c r="J58" s="301">
        <f t="shared" si="8"/>
        <v>3001.9994721220964</v>
      </c>
      <c r="K58" s="302"/>
    </row>
    <row r="59" spans="1:11" ht="12.75">
      <c r="A59" s="299">
        <v>44743</v>
      </c>
      <c r="B59" s="300"/>
      <c r="C59" s="300" t="s">
        <v>311</v>
      </c>
      <c r="D59" s="301">
        <f>PRESUPUESTO!J18</f>
        <v>3383.7994721220966</v>
      </c>
      <c r="E59" s="301">
        <v>0</v>
      </c>
      <c r="F59" s="301">
        <f>197.94+1161.16</f>
        <v>1359.1000000000001</v>
      </c>
      <c r="G59" s="301">
        <v>0</v>
      </c>
      <c r="H59" s="301">
        <v>0</v>
      </c>
      <c r="I59" s="301">
        <f t="shared" si="9"/>
        <v>1359.1000000000001</v>
      </c>
      <c r="J59" s="301">
        <f t="shared" si="8"/>
        <v>2024.6994721220965</v>
      </c>
      <c r="K59" s="302"/>
    </row>
    <row r="60" spans="1:11" ht="12.75">
      <c r="A60" s="299">
        <v>44743</v>
      </c>
      <c r="B60" s="300"/>
      <c r="C60" s="300" t="s">
        <v>312</v>
      </c>
      <c r="D60" s="301">
        <f>PRESUPUESTO!J19</f>
        <v>3383.7994721220966</v>
      </c>
      <c r="E60" s="301">
        <v>0</v>
      </c>
      <c r="F60" s="301">
        <f>6716.01-6315.04</f>
        <v>400.97000000000025</v>
      </c>
      <c r="G60" s="301">
        <v>0</v>
      </c>
      <c r="H60" s="301">
        <v>0</v>
      </c>
      <c r="I60" s="301">
        <f t="shared" si="9"/>
        <v>400.97000000000025</v>
      </c>
      <c r="J60" s="301">
        <f t="shared" si="8"/>
        <v>2982.8294721220964</v>
      </c>
      <c r="K60" s="302"/>
    </row>
    <row r="61" spans="1:11" ht="12.75">
      <c r="A61" s="299"/>
      <c r="B61" s="300"/>
      <c r="C61" s="300" t="s">
        <v>96</v>
      </c>
      <c r="D61" s="301">
        <f>PRESUPUESTO!J20</f>
        <v>7690.4533457320385</v>
      </c>
      <c r="E61" s="301">
        <v>0</v>
      </c>
      <c r="F61" s="301">
        <v>0</v>
      </c>
      <c r="G61" s="301">
        <v>0</v>
      </c>
      <c r="H61" s="301">
        <v>0</v>
      </c>
      <c r="I61" s="301">
        <f t="shared" si="9"/>
        <v>0</v>
      </c>
      <c r="J61" s="301">
        <f t="shared" si="8"/>
        <v>7690.4533457320385</v>
      </c>
      <c r="K61" s="302"/>
    </row>
    <row r="62" spans="1:11" ht="12.75">
      <c r="A62" s="299"/>
      <c r="B62" s="300"/>
      <c r="C62" s="300" t="s">
        <v>99</v>
      </c>
      <c r="D62" s="301">
        <f>PRESUPUESTO!J21</f>
        <v>7690.4533457320385</v>
      </c>
      <c r="E62" s="301">
        <v>0</v>
      </c>
      <c r="F62" s="301">
        <v>0</v>
      </c>
      <c r="G62" s="301">
        <v>0</v>
      </c>
      <c r="H62" s="301">
        <v>0</v>
      </c>
      <c r="I62" s="301">
        <f t="shared" si="9"/>
        <v>0</v>
      </c>
      <c r="J62" s="301">
        <f t="shared" si="8"/>
        <v>7690.4533457320385</v>
      </c>
      <c r="K62" s="302"/>
    </row>
    <row r="63" spans="1:11" ht="12.75">
      <c r="A63" s="493" t="s">
        <v>22</v>
      </c>
      <c r="B63" s="456"/>
      <c r="C63" s="456"/>
      <c r="D63" s="456"/>
      <c r="E63" s="456"/>
      <c r="F63" s="456"/>
      <c r="G63" s="456"/>
      <c r="H63" s="456"/>
      <c r="I63" s="456"/>
      <c r="J63" s="456"/>
      <c r="K63" s="298"/>
    </row>
    <row r="64" spans="1:11" ht="12.75">
      <c r="A64" s="299">
        <v>44774</v>
      </c>
      <c r="B64" s="300"/>
      <c r="C64" s="300" t="s">
        <v>71</v>
      </c>
      <c r="D64" s="301">
        <f>PRESUPUESTO!M4</f>
        <v>110000</v>
      </c>
      <c r="E64" s="301">
        <v>45000</v>
      </c>
      <c r="F64" s="301">
        <v>35000</v>
      </c>
      <c r="G64" s="301">
        <v>0</v>
      </c>
      <c r="H64" s="301">
        <v>0</v>
      </c>
      <c r="I64" s="301">
        <f t="shared" ref="I64:I75" si="10">SUM(E64:H64)</f>
        <v>80000</v>
      </c>
      <c r="J64" s="301">
        <f t="shared" ref="J64:J81" si="11">D64-I64</f>
        <v>30000</v>
      </c>
      <c r="K64" s="302"/>
    </row>
    <row r="65" spans="1:11" ht="12.75">
      <c r="A65" s="299">
        <v>44786</v>
      </c>
      <c r="B65" s="302" t="s">
        <v>324</v>
      </c>
      <c r="C65" s="300" t="s">
        <v>73</v>
      </c>
      <c r="D65" s="301">
        <f>PRESUPUESTO!M5</f>
        <v>16242.237466186063</v>
      </c>
      <c r="E65" s="301">
        <v>0</v>
      </c>
      <c r="F65" s="301">
        <v>0</v>
      </c>
      <c r="G65" s="301">
        <v>6085.95</v>
      </c>
      <c r="H65" s="301">
        <v>0</v>
      </c>
      <c r="I65" s="301">
        <f t="shared" si="10"/>
        <v>6085.95</v>
      </c>
      <c r="J65" s="301">
        <f t="shared" si="11"/>
        <v>10156.287466186062</v>
      </c>
      <c r="K65" s="302"/>
    </row>
    <row r="66" spans="1:11" ht="12.75">
      <c r="A66" s="299">
        <v>44783</v>
      </c>
      <c r="B66" s="302" t="s">
        <v>325</v>
      </c>
      <c r="C66" s="300" t="s">
        <v>74</v>
      </c>
      <c r="D66" s="301">
        <f>PRESUPUESTO!M6</f>
        <v>1878.6854669221889</v>
      </c>
      <c r="E66" s="301">
        <v>0</v>
      </c>
      <c r="F66" s="301">
        <v>0</v>
      </c>
      <c r="G66" s="301">
        <v>555.02</v>
      </c>
      <c r="H66" s="301">
        <v>0</v>
      </c>
      <c r="I66" s="301">
        <f t="shared" si="10"/>
        <v>555.02</v>
      </c>
      <c r="J66" s="301">
        <f t="shared" si="11"/>
        <v>1323.6654669221889</v>
      </c>
      <c r="K66" s="302"/>
    </row>
    <row r="67" spans="1:11" ht="12.75">
      <c r="A67" s="299">
        <v>44793</v>
      </c>
      <c r="B67" s="302" t="s">
        <v>326</v>
      </c>
      <c r="C67" s="300" t="s">
        <v>75</v>
      </c>
      <c r="D67" s="301">
        <f>PRESUPUESTO!M7</f>
        <v>48717.927500000034</v>
      </c>
      <c r="E67" s="301">
        <v>0</v>
      </c>
      <c r="F67" s="301">
        <v>0</v>
      </c>
      <c r="G67" s="301">
        <v>16559.71</v>
      </c>
      <c r="H67" s="301">
        <v>0</v>
      </c>
      <c r="I67" s="301">
        <f t="shared" si="10"/>
        <v>16559.71</v>
      </c>
      <c r="J67" s="301">
        <f t="shared" si="11"/>
        <v>32158.217500000035</v>
      </c>
      <c r="K67" s="302"/>
    </row>
    <row r="68" spans="1:11" ht="12.75">
      <c r="A68" s="299">
        <v>44793</v>
      </c>
      <c r="B68" s="302" t="s">
        <v>327</v>
      </c>
      <c r="C68" s="300" t="s">
        <v>78</v>
      </c>
      <c r="D68" s="301">
        <f>PRESUPUESTO!M8</f>
        <v>21994.696568793632</v>
      </c>
      <c r="E68" s="301">
        <v>0</v>
      </c>
      <c r="F68" s="301">
        <v>0</v>
      </c>
      <c r="G68" s="301">
        <v>6909.1</v>
      </c>
      <c r="H68" s="301">
        <v>0</v>
      </c>
      <c r="I68" s="301">
        <f t="shared" si="10"/>
        <v>6909.1</v>
      </c>
      <c r="J68" s="301">
        <f t="shared" si="11"/>
        <v>15085.596568793631</v>
      </c>
      <c r="K68" s="302"/>
    </row>
    <row r="69" spans="1:11" ht="12.75">
      <c r="A69" s="299">
        <v>44796</v>
      </c>
      <c r="B69" s="302" t="s">
        <v>328</v>
      </c>
      <c r="C69" s="300" t="s">
        <v>304</v>
      </c>
      <c r="D69" s="301">
        <f>PRESUPUESTO!M9</f>
        <v>16918.997360610487</v>
      </c>
      <c r="E69" s="301">
        <v>0</v>
      </c>
      <c r="F69" s="301">
        <v>0</v>
      </c>
      <c r="G69" s="301">
        <v>4684</v>
      </c>
      <c r="H69" s="301">
        <v>0</v>
      </c>
      <c r="I69" s="301">
        <f t="shared" si="10"/>
        <v>4684</v>
      </c>
      <c r="J69" s="301">
        <f t="shared" si="11"/>
        <v>12234.997360610487</v>
      </c>
      <c r="K69" s="302"/>
    </row>
    <row r="70" spans="1:11" ht="12.75">
      <c r="A70" s="299"/>
      <c r="B70" s="300"/>
      <c r="C70" s="300" t="s">
        <v>305</v>
      </c>
      <c r="D70" s="301">
        <f>PRESUPUESTO!M10</f>
        <v>16918.997360610487</v>
      </c>
      <c r="E70" s="301">
        <v>0</v>
      </c>
      <c r="F70" s="301">
        <v>0</v>
      </c>
      <c r="G70" s="301">
        <v>0</v>
      </c>
      <c r="H70" s="301">
        <v>0</v>
      </c>
      <c r="I70" s="301">
        <f t="shared" si="10"/>
        <v>0</v>
      </c>
      <c r="J70" s="301">
        <f t="shared" si="11"/>
        <v>16918.997360610487</v>
      </c>
      <c r="K70" s="302"/>
    </row>
    <row r="71" spans="1:11" ht="12.75">
      <c r="A71" s="299">
        <v>44774</v>
      </c>
      <c r="B71" s="300"/>
      <c r="C71" s="300" t="s">
        <v>84</v>
      </c>
      <c r="D71" s="301">
        <f>PRESUPUESTO!M11</f>
        <v>5075.6992081831459</v>
      </c>
      <c r="E71" s="301">
        <v>1500</v>
      </c>
      <c r="F71" s="301">
        <v>0</v>
      </c>
      <c r="G71" s="301">
        <v>0</v>
      </c>
      <c r="H71" s="301">
        <v>0</v>
      </c>
      <c r="I71" s="301">
        <f t="shared" si="10"/>
        <v>1500</v>
      </c>
      <c r="J71" s="301">
        <f t="shared" si="11"/>
        <v>3575.6992081831459</v>
      </c>
      <c r="K71" s="302"/>
    </row>
    <row r="72" spans="1:11" ht="12.75">
      <c r="A72" s="299"/>
      <c r="B72" s="300"/>
      <c r="C72" s="300" t="s">
        <v>86</v>
      </c>
      <c r="D72" s="301">
        <f>PRESUPUESTO!M12</f>
        <v>1691.8997360610485</v>
      </c>
      <c r="E72" s="301">
        <v>0</v>
      </c>
      <c r="F72" s="301">
        <v>0</v>
      </c>
      <c r="G72" s="301">
        <v>0</v>
      </c>
      <c r="H72" s="301">
        <v>0</v>
      </c>
      <c r="I72" s="301">
        <f t="shared" si="10"/>
        <v>0</v>
      </c>
      <c r="J72" s="301">
        <f t="shared" si="11"/>
        <v>1691.8997360610485</v>
      </c>
      <c r="K72" s="302"/>
    </row>
    <row r="73" spans="1:11" ht="12.75">
      <c r="A73" s="299"/>
      <c r="B73" s="300"/>
      <c r="C73" s="300" t="s">
        <v>87</v>
      </c>
      <c r="D73" s="301">
        <f>PRESUPUESTO!M13</f>
        <v>3383.7994721220971</v>
      </c>
      <c r="E73" s="301">
        <v>0</v>
      </c>
      <c r="F73" s="301">
        <v>0</v>
      </c>
      <c r="G73" s="301">
        <v>0</v>
      </c>
      <c r="H73" s="301">
        <v>0</v>
      </c>
      <c r="I73" s="301">
        <f t="shared" si="10"/>
        <v>0</v>
      </c>
      <c r="J73" s="301">
        <f t="shared" si="11"/>
        <v>3383.7994721220971</v>
      </c>
      <c r="K73" s="302"/>
    </row>
    <row r="74" spans="1:11" ht="12.75">
      <c r="A74" s="299"/>
      <c r="B74" s="300"/>
      <c r="C74" s="300" t="s">
        <v>88</v>
      </c>
      <c r="D74" s="301">
        <f>PRESUPUESTO!M14</f>
        <v>3383.7994721220971</v>
      </c>
      <c r="E74" s="301">
        <v>0</v>
      </c>
      <c r="F74" s="301">
        <v>0</v>
      </c>
      <c r="G74" s="301">
        <v>0</v>
      </c>
      <c r="H74" s="301">
        <v>0</v>
      </c>
      <c r="I74" s="301">
        <f t="shared" si="10"/>
        <v>0</v>
      </c>
      <c r="J74" s="301">
        <f t="shared" si="11"/>
        <v>3383.7994721220971</v>
      </c>
      <c r="K74" s="302"/>
    </row>
    <row r="75" spans="1:11" ht="12.75">
      <c r="A75" s="299"/>
      <c r="B75" s="300"/>
      <c r="C75" s="300" t="s">
        <v>306</v>
      </c>
      <c r="D75" s="301">
        <f>PRESUPUESTO!M15</f>
        <v>8459.4986803052434</v>
      </c>
      <c r="E75" s="301">
        <v>0</v>
      </c>
      <c r="F75" s="301">
        <v>0</v>
      </c>
      <c r="G75" s="301">
        <v>0</v>
      </c>
      <c r="H75" s="301">
        <v>0</v>
      </c>
      <c r="I75" s="301">
        <f t="shared" si="10"/>
        <v>0</v>
      </c>
      <c r="J75" s="301">
        <f t="shared" si="11"/>
        <v>8459.4986803052434</v>
      </c>
      <c r="K75" s="302"/>
    </row>
    <row r="76" spans="1:11" ht="12.75">
      <c r="A76" s="299"/>
      <c r="B76" s="300"/>
      <c r="C76" s="300" t="s">
        <v>307</v>
      </c>
      <c r="D76" s="301">
        <f>PRESUPUESTO!M16</f>
        <v>22000</v>
      </c>
      <c r="E76" s="301"/>
      <c r="F76" s="301"/>
      <c r="G76" s="301"/>
      <c r="H76" s="301"/>
      <c r="I76" s="301"/>
      <c r="J76" s="301">
        <f t="shared" si="11"/>
        <v>22000</v>
      </c>
      <c r="K76" s="302"/>
    </row>
    <row r="77" spans="1:11" ht="12.75">
      <c r="A77" s="299">
        <v>44780</v>
      </c>
      <c r="B77" s="300"/>
      <c r="C77" s="300" t="s">
        <v>309</v>
      </c>
      <c r="D77" s="301">
        <f>PRESUPUESTO!M17</f>
        <v>3722.1794193343067</v>
      </c>
      <c r="E77" s="301">
        <v>0</v>
      </c>
      <c r="F77" s="301">
        <v>0</v>
      </c>
      <c r="G77" s="301">
        <v>818.87</v>
      </c>
      <c r="H77" s="301">
        <v>0</v>
      </c>
      <c r="I77" s="301">
        <f t="shared" ref="I77:I81" si="12">SUM(E77:H77)</f>
        <v>818.87</v>
      </c>
      <c r="J77" s="301">
        <f t="shared" si="11"/>
        <v>2903.3094193343068</v>
      </c>
      <c r="K77" s="302"/>
    </row>
    <row r="78" spans="1:11" ht="12.75">
      <c r="A78" s="299">
        <v>44771</v>
      </c>
      <c r="B78" s="300"/>
      <c r="C78" s="300" t="s">
        <v>311</v>
      </c>
      <c r="D78" s="301">
        <f>PRESUPUESTO!M18</f>
        <v>3722.1794193343067</v>
      </c>
      <c r="E78" s="301">
        <v>0</v>
      </c>
      <c r="F78" s="301">
        <f>194.99+155.93</f>
        <v>350.92</v>
      </c>
      <c r="G78" s="301">
        <v>0</v>
      </c>
      <c r="H78" s="301">
        <v>0</v>
      </c>
      <c r="I78" s="301">
        <f t="shared" si="12"/>
        <v>350.92</v>
      </c>
      <c r="J78" s="301">
        <f t="shared" si="11"/>
        <v>3371.2594193343066</v>
      </c>
      <c r="K78" s="302"/>
    </row>
    <row r="79" spans="1:11" ht="12.75">
      <c r="A79" s="299">
        <v>44773</v>
      </c>
      <c r="B79" s="300"/>
      <c r="C79" s="300" t="s">
        <v>312</v>
      </c>
      <c r="D79" s="301">
        <f>PRESUPUESTO!M19</f>
        <v>3722.1794193343067</v>
      </c>
      <c r="E79" s="301">
        <v>0</v>
      </c>
      <c r="F79" s="301">
        <f>610-570.44+2793.75-2652.7</f>
        <v>180.61000000000013</v>
      </c>
      <c r="G79" s="301">
        <v>0</v>
      </c>
      <c r="H79" s="301">
        <v>0</v>
      </c>
      <c r="I79" s="301">
        <f t="shared" si="12"/>
        <v>180.61000000000013</v>
      </c>
      <c r="J79" s="301">
        <f t="shared" si="11"/>
        <v>3541.5694193343065</v>
      </c>
      <c r="K79" s="302"/>
    </row>
    <row r="80" spans="1:11" ht="12.75">
      <c r="A80" s="299">
        <v>44773</v>
      </c>
      <c r="B80" s="300" t="s">
        <v>329</v>
      </c>
      <c r="C80" s="300" t="s">
        <v>96</v>
      </c>
      <c r="D80" s="301">
        <f>PRESUPUESTO!M20</f>
        <v>8459.4986803052434</v>
      </c>
      <c r="E80" s="301">
        <v>0</v>
      </c>
      <c r="F80" s="301">
        <v>0</v>
      </c>
      <c r="G80" s="301">
        <v>0</v>
      </c>
      <c r="H80" s="301">
        <v>0</v>
      </c>
      <c r="I80" s="301">
        <f t="shared" si="12"/>
        <v>0</v>
      </c>
      <c r="J80" s="301">
        <f t="shared" si="11"/>
        <v>8459.4986803052434</v>
      </c>
      <c r="K80" s="302"/>
    </row>
    <row r="81" spans="1:11" ht="12.75">
      <c r="A81" s="299">
        <v>44774</v>
      </c>
      <c r="B81" s="300"/>
      <c r="C81" s="300" t="s">
        <v>99</v>
      </c>
      <c r="D81" s="301">
        <f>PRESUPUESTO!M21</f>
        <v>8459.4986803052434</v>
      </c>
      <c r="E81" s="301">
        <v>0</v>
      </c>
      <c r="F81" s="301">
        <f>2905.06+152.01+1279.78+1839.87+66.04+1500.46+39.72</f>
        <v>7782.94</v>
      </c>
      <c r="G81" s="301"/>
      <c r="H81" s="301">
        <v>0</v>
      </c>
      <c r="I81" s="301">
        <f t="shared" si="12"/>
        <v>7782.94</v>
      </c>
      <c r="J81" s="301">
        <f t="shared" si="11"/>
        <v>676.5586803052438</v>
      </c>
      <c r="K81" s="302"/>
    </row>
    <row r="82" spans="1:11" ht="12.75">
      <c r="A82" s="493" t="s">
        <v>23</v>
      </c>
      <c r="B82" s="456"/>
      <c r="C82" s="456"/>
      <c r="D82" s="456"/>
      <c r="E82" s="456"/>
      <c r="F82" s="456"/>
      <c r="G82" s="456"/>
      <c r="H82" s="456"/>
      <c r="I82" s="456"/>
      <c r="J82" s="456"/>
      <c r="K82" s="298"/>
    </row>
    <row r="83" spans="1:11" ht="12.75">
      <c r="A83" s="299">
        <v>44805</v>
      </c>
      <c r="B83" s="300"/>
      <c r="C83" s="300" t="s">
        <v>71</v>
      </c>
      <c r="D83" s="301">
        <f>PRESUPUESTO!P4</f>
        <v>110000</v>
      </c>
      <c r="E83" s="301">
        <v>80000</v>
      </c>
      <c r="F83" s="301">
        <v>0</v>
      </c>
      <c r="G83" s="301">
        <v>0</v>
      </c>
      <c r="H83" s="301">
        <v>0</v>
      </c>
      <c r="I83" s="301">
        <f t="shared" ref="I83:I94" si="13">SUM(E83:H83)</f>
        <v>80000</v>
      </c>
      <c r="J83" s="301">
        <f t="shared" ref="J83:J100" si="14">D83-I83</f>
        <v>30000</v>
      </c>
      <c r="K83" s="302"/>
    </row>
    <row r="84" spans="1:11" ht="12.75">
      <c r="A84" s="299">
        <v>44814</v>
      </c>
      <c r="B84" s="300"/>
      <c r="C84" s="300" t="s">
        <v>73</v>
      </c>
      <c r="D84" s="301">
        <f>PRESUPUESTO!P5</f>
        <v>17866.461212804672</v>
      </c>
      <c r="E84" s="301">
        <v>0</v>
      </c>
      <c r="F84" s="301">
        <v>0</v>
      </c>
      <c r="G84" s="301">
        <v>6085.95</v>
      </c>
      <c r="H84" s="301">
        <v>0</v>
      </c>
      <c r="I84" s="301">
        <f t="shared" si="13"/>
        <v>6085.95</v>
      </c>
      <c r="J84" s="301">
        <f t="shared" si="14"/>
        <v>11780.511212804671</v>
      </c>
      <c r="K84" s="302" t="s">
        <v>330</v>
      </c>
    </row>
    <row r="85" spans="1:11" ht="12.75">
      <c r="A85" s="299">
        <v>44814</v>
      </c>
      <c r="B85" s="300"/>
      <c r="C85" s="300" t="s">
        <v>74</v>
      </c>
      <c r="D85" s="301">
        <f>PRESUPUESTO!P6</f>
        <v>2066.5540136144077</v>
      </c>
      <c r="E85" s="301">
        <v>0</v>
      </c>
      <c r="F85" s="301">
        <v>0</v>
      </c>
      <c r="G85" s="301">
        <v>555.02</v>
      </c>
      <c r="H85" s="301">
        <v>0</v>
      </c>
      <c r="I85" s="301">
        <f t="shared" si="13"/>
        <v>555.02</v>
      </c>
      <c r="J85" s="301">
        <f t="shared" si="14"/>
        <v>1511.5340136144077</v>
      </c>
      <c r="K85" s="302" t="s">
        <v>331</v>
      </c>
    </row>
    <row r="86" spans="1:11" ht="12.75">
      <c r="A86" s="299">
        <v>44819</v>
      </c>
      <c r="B86" s="300"/>
      <c r="C86" s="300" t="s">
        <v>75</v>
      </c>
      <c r="D86" s="301">
        <f>PRESUPUESTO!P7</f>
        <v>53589.720250000042</v>
      </c>
      <c r="E86" s="301">
        <v>0</v>
      </c>
      <c r="F86" s="301">
        <v>0</v>
      </c>
      <c r="G86" s="301">
        <v>9673.6</v>
      </c>
      <c r="H86" s="301">
        <v>0</v>
      </c>
      <c r="I86" s="301">
        <f t="shared" si="13"/>
        <v>9673.6</v>
      </c>
      <c r="J86" s="301">
        <f t="shared" si="14"/>
        <v>43916.120250000044</v>
      </c>
      <c r="K86" s="302" t="s">
        <v>332</v>
      </c>
    </row>
    <row r="87" spans="1:11" ht="12.75">
      <c r="A87" s="299">
        <v>44819</v>
      </c>
      <c r="B87" s="300"/>
      <c r="C87" s="300" t="s">
        <v>78</v>
      </c>
      <c r="D87" s="301">
        <f>PRESUPUESTO!P8</f>
        <v>24194.166225672998</v>
      </c>
      <c r="E87" s="301">
        <v>0</v>
      </c>
      <c r="F87" s="301">
        <v>0</v>
      </c>
      <c r="G87" s="301">
        <v>6909.1</v>
      </c>
      <c r="H87" s="301">
        <v>0</v>
      </c>
      <c r="I87" s="301">
        <f t="shared" si="13"/>
        <v>6909.1</v>
      </c>
      <c r="J87" s="301">
        <f t="shared" si="14"/>
        <v>17285.066225672999</v>
      </c>
      <c r="K87" s="302" t="s">
        <v>333</v>
      </c>
    </row>
    <row r="88" spans="1:11" ht="12.75">
      <c r="A88" s="299">
        <v>44825</v>
      </c>
      <c r="B88" s="300"/>
      <c r="C88" s="300" t="s">
        <v>304</v>
      </c>
      <c r="D88" s="301">
        <f>PRESUPUESTO!P9</f>
        <v>18610.897096671539</v>
      </c>
      <c r="E88" s="301">
        <v>0</v>
      </c>
      <c r="F88" s="301">
        <v>0</v>
      </c>
      <c r="G88" s="301">
        <v>4684</v>
      </c>
      <c r="H88" s="301">
        <v>0</v>
      </c>
      <c r="I88" s="301">
        <f t="shared" si="13"/>
        <v>4684</v>
      </c>
      <c r="J88" s="301">
        <f t="shared" si="14"/>
        <v>13926.897096671539</v>
      </c>
      <c r="K88" s="302" t="s">
        <v>334</v>
      </c>
    </row>
    <row r="89" spans="1:11" ht="12.75">
      <c r="A89" s="299"/>
      <c r="B89" s="300"/>
      <c r="C89" s="300" t="s">
        <v>305</v>
      </c>
      <c r="D89" s="301">
        <f>PRESUPUESTO!P10</f>
        <v>18610.897096671539</v>
      </c>
      <c r="E89" s="301">
        <v>0</v>
      </c>
      <c r="F89" s="301">
        <v>0</v>
      </c>
      <c r="G89" s="301">
        <v>0</v>
      </c>
      <c r="H89" s="301">
        <v>0</v>
      </c>
      <c r="I89" s="301">
        <f t="shared" si="13"/>
        <v>0</v>
      </c>
      <c r="J89" s="301">
        <f t="shared" si="14"/>
        <v>18610.897096671539</v>
      </c>
      <c r="K89" s="302"/>
    </row>
    <row r="90" spans="1:11" ht="12.75">
      <c r="A90" s="299"/>
      <c r="B90" s="300"/>
      <c r="C90" s="300" t="s">
        <v>84</v>
      </c>
      <c r="D90" s="301">
        <f>PRESUPUESTO!P11</f>
        <v>5583.2691290014609</v>
      </c>
      <c r="E90" s="301">
        <v>0</v>
      </c>
      <c r="F90" s="301">
        <v>0</v>
      </c>
      <c r="G90" s="301">
        <v>0</v>
      </c>
      <c r="H90" s="301">
        <v>0</v>
      </c>
      <c r="I90" s="301">
        <f t="shared" si="13"/>
        <v>0</v>
      </c>
      <c r="J90" s="301">
        <f t="shared" si="14"/>
        <v>5583.2691290014609</v>
      </c>
      <c r="K90" s="302"/>
    </row>
    <row r="91" spans="1:11" ht="12.75">
      <c r="A91" s="299"/>
      <c r="B91" s="300"/>
      <c r="C91" s="300" t="s">
        <v>86</v>
      </c>
      <c r="D91" s="301">
        <f>PRESUPUESTO!P12</f>
        <v>1861.0897096671536</v>
      </c>
      <c r="E91" s="301">
        <v>0</v>
      </c>
      <c r="F91" s="301">
        <v>0</v>
      </c>
      <c r="G91" s="301">
        <v>0</v>
      </c>
      <c r="H91" s="301">
        <v>0</v>
      </c>
      <c r="I91" s="301">
        <f t="shared" si="13"/>
        <v>0</v>
      </c>
      <c r="J91" s="301">
        <f t="shared" si="14"/>
        <v>1861.0897096671536</v>
      </c>
      <c r="K91" s="302"/>
    </row>
    <row r="92" spans="1:11" ht="12.75">
      <c r="A92" s="299"/>
      <c r="B92" s="300"/>
      <c r="C92" s="300" t="s">
        <v>87</v>
      </c>
      <c r="D92" s="301">
        <f>PRESUPUESTO!P13</f>
        <v>3722.1794193343071</v>
      </c>
      <c r="E92" s="301">
        <v>0</v>
      </c>
      <c r="F92" s="301">
        <v>0</v>
      </c>
      <c r="G92" s="301">
        <v>0</v>
      </c>
      <c r="H92" s="301">
        <v>0</v>
      </c>
      <c r="I92" s="301">
        <f t="shared" si="13"/>
        <v>0</v>
      </c>
      <c r="J92" s="301">
        <f t="shared" si="14"/>
        <v>3722.1794193343071</v>
      </c>
      <c r="K92" s="302"/>
    </row>
    <row r="93" spans="1:11" ht="12.75">
      <c r="A93" s="299"/>
      <c r="B93" s="300"/>
      <c r="C93" s="300" t="s">
        <v>88</v>
      </c>
      <c r="D93" s="301">
        <f>PRESUPUESTO!P14</f>
        <v>3722.1794193343071</v>
      </c>
      <c r="E93" s="301">
        <v>0</v>
      </c>
      <c r="F93" s="301">
        <v>0</v>
      </c>
      <c r="G93" s="301">
        <v>0</v>
      </c>
      <c r="H93" s="301">
        <v>0</v>
      </c>
      <c r="I93" s="301">
        <f t="shared" si="13"/>
        <v>0</v>
      </c>
      <c r="J93" s="301">
        <f t="shared" si="14"/>
        <v>3722.1794193343071</v>
      </c>
      <c r="K93" s="302"/>
    </row>
    <row r="94" spans="1:11" ht="12.75">
      <c r="A94" s="299"/>
      <c r="B94" s="300"/>
      <c r="C94" s="300" t="s">
        <v>306</v>
      </c>
      <c r="D94" s="301">
        <f>PRESUPUESTO!P15</f>
        <v>9305.4485483357694</v>
      </c>
      <c r="E94" s="301">
        <v>0</v>
      </c>
      <c r="F94" s="301">
        <v>0</v>
      </c>
      <c r="G94" s="301">
        <v>0</v>
      </c>
      <c r="H94" s="301">
        <v>0</v>
      </c>
      <c r="I94" s="301">
        <f t="shared" si="13"/>
        <v>0</v>
      </c>
      <c r="J94" s="301">
        <f t="shared" si="14"/>
        <v>9305.4485483357694</v>
      </c>
      <c r="K94" s="302"/>
    </row>
    <row r="95" spans="1:11" ht="12.75">
      <c r="A95" s="299"/>
      <c r="B95" s="300"/>
      <c r="C95" s="300" t="s">
        <v>307</v>
      </c>
      <c r="D95" s="301">
        <f>PRESUPUESTO!P16</f>
        <v>22000</v>
      </c>
      <c r="E95" s="301"/>
      <c r="F95" s="301"/>
      <c r="G95" s="301"/>
      <c r="H95" s="301"/>
      <c r="I95" s="301"/>
      <c r="J95" s="301">
        <f t="shared" si="14"/>
        <v>22000</v>
      </c>
      <c r="K95" s="302"/>
    </row>
    <row r="96" spans="1:11" ht="12.75">
      <c r="A96" s="305">
        <v>44811</v>
      </c>
      <c r="B96" s="300" t="s">
        <v>335</v>
      </c>
      <c r="C96" s="300" t="s">
        <v>309</v>
      </c>
      <c r="D96" s="301">
        <f>PRESUPUESTO!P17</f>
        <v>4094.3973612677378</v>
      </c>
      <c r="E96" s="301">
        <v>0</v>
      </c>
      <c r="F96" s="301">
        <v>0</v>
      </c>
      <c r="G96" s="301">
        <v>864.52</v>
      </c>
      <c r="H96" s="301">
        <v>0</v>
      </c>
      <c r="I96" s="301">
        <f t="shared" ref="I96:I100" si="15">SUM(E96:H96)</f>
        <v>864.52</v>
      </c>
      <c r="J96" s="301">
        <f t="shared" si="14"/>
        <v>3229.8773612677378</v>
      </c>
      <c r="K96" s="302"/>
    </row>
    <row r="97" spans="1:11" ht="12.75">
      <c r="A97" s="299">
        <v>44804</v>
      </c>
      <c r="B97" s="305">
        <v>44804</v>
      </c>
      <c r="C97" s="300" t="s">
        <v>311</v>
      </c>
      <c r="D97" s="301">
        <f>PRESUPUESTO!P18</f>
        <v>4094.3973612677378</v>
      </c>
      <c r="E97" s="301">
        <v>0</v>
      </c>
      <c r="F97" s="301">
        <f>268.1+190.08+39.92</f>
        <v>498.10000000000008</v>
      </c>
      <c r="G97" s="301">
        <v>0</v>
      </c>
      <c r="H97" s="301">
        <v>0</v>
      </c>
      <c r="I97" s="301">
        <f t="shared" si="15"/>
        <v>498.10000000000008</v>
      </c>
      <c r="J97" s="301">
        <f t="shared" si="14"/>
        <v>3596.2973612677379</v>
      </c>
      <c r="K97" s="302"/>
    </row>
    <row r="98" spans="1:11" ht="12.75">
      <c r="A98" s="299">
        <v>44804</v>
      </c>
      <c r="B98" s="300"/>
      <c r="C98" s="300" t="s">
        <v>312</v>
      </c>
      <c r="D98" s="301">
        <f>PRESUPUESTO!P19</f>
        <v>4094.3973612677378</v>
      </c>
      <c r="E98" s="301">
        <v>0</v>
      </c>
      <c r="F98" s="301">
        <f>2385.6-2235.49+5288.9-4987.12</f>
        <v>451.89000000000033</v>
      </c>
      <c r="G98" s="301">
        <v>0</v>
      </c>
      <c r="H98" s="301">
        <v>0</v>
      </c>
      <c r="I98" s="301">
        <f t="shared" si="15"/>
        <v>451.89000000000033</v>
      </c>
      <c r="J98" s="301">
        <f t="shared" si="14"/>
        <v>3642.5073612677375</v>
      </c>
      <c r="K98" s="302"/>
    </row>
    <row r="99" spans="1:11" ht="12.75">
      <c r="A99" s="299">
        <v>44804</v>
      </c>
      <c r="B99" s="300" t="s">
        <v>336</v>
      </c>
      <c r="C99" s="300" t="s">
        <v>96</v>
      </c>
      <c r="D99" s="301">
        <f>PRESUPUESTO!P20</f>
        <v>9305.4485483357694</v>
      </c>
      <c r="E99" s="301">
        <v>0</v>
      </c>
      <c r="F99" s="301">
        <v>0</v>
      </c>
      <c r="G99" s="301">
        <v>0</v>
      </c>
      <c r="H99" s="301">
        <v>0</v>
      </c>
      <c r="I99" s="301">
        <f t="shared" si="15"/>
        <v>0</v>
      </c>
      <c r="J99" s="301">
        <f t="shared" si="14"/>
        <v>9305.4485483357694</v>
      </c>
      <c r="K99" s="302"/>
    </row>
    <row r="100" spans="1:11" ht="12.75">
      <c r="A100" s="299"/>
      <c r="B100" s="300"/>
      <c r="C100" s="300" t="s">
        <v>99</v>
      </c>
      <c r="D100" s="301">
        <f>PRESUPUESTO!P21</f>
        <v>9305.4485483357694</v>
      </c>
      <c r="E100" s="301">
        <v>0</v>
      </c>
      <c r="F100" s="301">
        <v>0</v>
      </c>
      <c r="G100" s="301">
        <v>0</v>
      </c>
      <c r="H100" s="301">
        <v>0</v>
      </c>
      <c r="I100" s="301">
        <f t="shared" si="15"/>
        <v>0</v>
      </c>
      <c r="J100" s="301">
        <f t="shared" si="14"/>
        <v>9305.4485483357694</v>
      </c>
      <c r="K100" s="302"/>
    </row>
    <row r="101" spans="1:11" ht="12.75">
      <c r="A101" s="493" t="s">
        <v>24</v>
      </c>
      <c r="B101" s="456"/>
      <c r="C101" s="456"/>
      <c r="D101" s="456"/>
      <c r="E101" s="456"/>
      <c r="F101" s="456"/>
      <c r="G101" s="456"/>
      <c r="H101" s="456"/>
      <c r="I101" s="456"/>
      <c r="J101" s="456"/>
      <c r="K101" s="298"/>
    </row>
    <row r="102" spans="1:11" ht="12.75">
      <c r="A102" s="299">
        <v>44842</v>
      </c>
      <c r="B102" s="300"/>
      <c r="C102" s="300" t="s">
        <v>71</v>
      </c>
      <c r="D102" s="301">
        <f>PRESUPUESTO!S4</f>
        <v>110000</v>
      </c>
      <c r="E102" s="301">
        <v>80000</v>
      </c>
      <c r="F102" s="301">
        <v>0</v>
      </c>
      <c r="G102" s="301">
        <v>0</v>
      </c>
      <c r="H102" s="301">
        <v>0</v>
      </c>
      <c r="I102" s="301">
        <f t="shared" ref="I102:I113" si="16">SUM(E102:H102)</f>
        <v>80000</v>
      </c>
      <c r="J102" s="301">
        <f t="shared" ref="J102:J119" si="17">D102-I102</f>
        <v>30000</v>
      </c>
      <c r="K102" s="302"/>
    </row>
    <row r="103" spans="1:11" ht="12.75">
      <c r="A103" s="299">
        <v>44846</v>
      </c>
      <c r="B103" s="300"/>
      <c r="C103" s="300" t="s">
        <v>73</v>
      </c>
      <c r="D103" s="301">
        <f>PRESUPUESTO!S5</f>
        <v>19653.10733408514</v>
      </c>
      <c r="E103" s="301">
        <v>0</v>
      </c>
      <c r="F103" s="301">
        <v>0</v>
      </c>
      <c r="G103" s="301">
        <v>6085.95</v>
      </c>
      <c r="H103" s="301">
        <v>0</v>
      </c>
      <c r="I103" s="301">
        <f t="shared" si="16"/>
        <v>6085.95</v>
      </c>
      <c r="J103" s="301">
        <f t="shared" si="17"/>
        <v>13567.157334085139</v>
      </c>
      <c r="K103" s="302" t="s">
        <v>337</v>
      </c>
    </row>
    <row r="104" spans="1:11" ht="12.75">
      <c r="A104" s="299">
        <v>44846</v>
      </c>
      <c r="B104" s="300"/>
      <c r="C104" s="300" t="s">
        <v>74</v>
      </c>
      <c r="D104" s="301">
        <f>PRESUPUESTO!S6</f>
        <v>2273.2094149758486</v>
      </c>
      <c r="E104" s="301">
        <v>0</v>
      </c>
      <c r="F104" s="301">
        <v>0</v>
      </c>
      <c r="G104" s="301">
        <v>555.02</v>
      </c>
      <c r="H104" s="301">
        <v>0</v>
      </c>
      <c r="I104" s="301">
        <f t="shared" si="16"/>
        <v>555.02</v>
      </c>
      <c r="J104" s="301">
        <f t="shared" si="17"/>
        <v>1718.1894149758486</v>
      </c>
      <c r="K104" s="302" t="s">
        <v>338</v>
      </c>
    </row>
    <row r="105" spans="1:11" ht="12.75">
      <c r="A105" s="299">
        <v>44853</v>
      </c>
      <c r="B105" s="300"/>
      <c r="C105" s="300" t="s">
        <v>75</v>
      </c>
      <c r="D105" s="301">
        <f>PRESUPUESTO!S7</f>
        <v>58948.692275000052</v>
      </c>
      <c r="E105" s="301">
        <v>0</v>
      </c>
      <c r="F105" s="301">
        <v>0</v>
      </c>
      <c r="G105" s="301">
        <v>9351.8700000000008</v>
      </c>
      <c r="H105" s="301">
        <v>0</v>
      </c>
      <c r="I105" s="301">
        <f t="shared" si="16"/>
        <v>9351.8700000000008</v>
      </c>
      <c r="J105" s="301">
        <f t="shared" si="17"/>
        <v>49596.82227500005</v>
      </c>
      <c r="K105" s="302" t="s">
        <v>339</v>
      </c>
    </row>
    <row r="106" spans="1:11" ht="12.75">
      <c r="A106" s="299">
        <v>44856</v>
      </c>
      <c r="B106" s="300"/>
      <c r="C106" s="300" t="s">
        <v>78</v>
      </c>
      <c r="D106" s="301">
        <f>PRESUPUESTO!S8</f>
        <v>26613.582848240301</v>
      </c>
      <c r="E106" s="301">
        <v>0</v>
      </c>
      <c r="F106" s="301"/>
      <c r="G106" s="301">
        <v>8288.5</v>
      </c>
      <c r="H106" s="301">
        <v>0</v>
      </c>
      <c r="I106" s="301">
        <f t="shared" si="16"/>
        <v>8288.5</v>
      </c>
      <c r="J106" s="301">
        <f t="shared" si="17"/>
        <v>18325.082848240301</v>
      </c>
      <c r="K106" s="302" t="s">
        <v>340</v>
      </c>
    </row>
    <row r="107" spans="1:11" ht="12.75">
      <c r="A107" s="299">
        <v>44859</v>
      </c>
      <c r="B107" s="300"/>
      <c r="C107" s="300" t="s">
        <v>304</v>
      </c>
      <c r="D107" s="301">
        <f>PRESUPUESTO!S9</f>
        <v>20471.986806338693</v>
      </c>
      <c r="E107" s="301">
        <v>0</v>
      </c>
      <c r="F107" s="301">
        <v>0</v>
      </c>
      <c r="G107" s="301">
        <v>4684</v>
      </c>
      <c r="H107" s="301">
        <v>0</v>
      </c>
      <c r="I107" s="301">
        <f t="shared" si="16"/>
        <v>4684</v>
      </c>
      <c r="J107" s="301">
        <f t="shared" si="17"/>
        <v>15787.986806338693</v>
      </c>
      <c r="K107" s="302" t="s">
        <v>341</v>
      </c>
    </row>
    <row r="108" spans="1:11" ht="12.75">
      <c r="A108" s="299"/>
      <c r="B108" s="300"/>
      <c r="C108" s="300" t="s">
        <v>305</v>
      </c>
      <c r="D108" s="301">
        <f>PRESUPUESTO!S10</f>
        <v>20471.986806338693</v>
      </c>
      <c r="E108" s="301">
        <v>0</v>
      </c>
      <c r="F108" s="301">
        <v>0</v>
      </c>
      <c r="G108" s="301">
        <v>0</v>
      </c>
      <c r="H108" s="301">
        <v>0</v>
      </c>
      <c r="I108" s="301">
        <f t="shared" si="16"/>
        <v>0</v>
      </c>
      <c r="J108" s="301">
        <f t="shared" si="17"/>
        <v>20471.986806338693</v>
      </c>
      <c r="K108" s="302"/>
    </row>
    <row r="109" spans="1:11" ht="12.75">
      <c r="A109" s="299"/>
      <c r="B109" s="300"/>
      <c r="C109" s="300" t="s">
        <v>84</v>
      </c>
      <c r="D109" s="301">
        <f>PRESUPUESTO!S11</f>
        <v>6141.5960419016074</v>
      </c>
      <c r="E109" s="301">
        <v>0</v>
      </c>
      <c r="F109" s="301">
        <v>0</v>
      </c>
      <c r="G109" s="301">
        <v>0</v>
      </c>
      <c r="H109" s="301">
        <v>0</v>
      </c>
      <c r="I109" s="301">
        <f t="shared" si="16"/>
        <v>0</v>
      </c>
      <c r="J109" s="301">
        <f t="shared" si="17"/>
        <v>6141.5960419016074</v>
      </c>
      <c r="K109" s="302"/>
    </row>
    <row r="110" spans="1:11" ht="12.75">
      <c r="A110" s="299"/>
      <c r="B110" s="300"/>
      <c r="C110" s="300" t="s">
        <v>86</v>
      </c>
      <c r="D110" s="301">
        <f>PRESUPUESTO!S12</f>
        <v>2047.1986806338691</v>
      </c>
      <c r="E110" s="301">
        <v>0</v>
      </c>
      <c r="F110" s="301">
        <v>0</v>
      </c>
      <c r="G110" s="301">
        <v>0</v>
      </c>
      <c r="H110" s="301">
        <v>0</v>
      </c>
      <c r="I110" s="301">
        <f t="shared" si="16"/>
        <v>0</v>
      </c>
      <c r="J110" s="301">
        <f t="shared" si="17"/>
        <v>2047.1986806338691</v>
      </c>
      <c r="K110" s="302"/>
    </row>
    <row r="111" spans="1:11" ht="12.75">
      <c r="A111" s="299"/>
      <c r="B111" s="300"/>
      <c r="C111" s="300" t="s">
        <v>87</v>
      </c>
      <c r="D111" s="301">
        <f>PRESUPUESTO!S13</f>
        <v>4094.3973612677382</v>
      </c>
      <c r="E111" s="301">
        <v>0</v>
      </c>
      <c r="F111" s="301">
        <v>0</v>
      </c>
      <c r="G111" s="301">
        <v>0</v>
      </c>
      <c r="H111" s="301">
        <v>0</v>
      </c>
      <c r="I111" s="301">
        <f t="shared" si="16"/>
        <v>0</v>
      </c>
      <c r="J111" s="301">
        <f t="shared" si="17"/>
        <v>4094.3973612677382</v>
      </c>
      <c r="K111" s="302"/>
    </row>
    <row r="112" spans="1:11" ht="12.75">
      <c r="A112" s="299"/>
      <c r="B112" s="300"/>
      <c r="C112" s="300" t="s">
        <v>88</v>
      </c>
      <c r="D112" s="301">
        <f>PRESUPUESTO!S14</f>
        <v>4094.3973612677382</v>
      </c>
      <c r="E112" s="301">
        <v>0</v>
      </c>
      <c r="F112" s="301">
        <v>0</v>
      </c>
      <c r="G112" s="301">
        <v>0</v>
      </c>
      <c r="H112" s="301">
        <v>0</v>
      </c>
      <c r="I112" s="301">
        <f t="shared" si="16"/>
        <v>0</v>
      </c>
      <c r="J112" s="301">
        <f t="shared" si="17"/>
        <v>4094.3973612677382</v>
      </c>
      <c r="K112" s="302"/>
    </row>
    <row r="113" spans="1:11" ht="12.75">
      <c r="A113" s="299">
        <v>44856</v>
      </c>
      <c r="B113" s="300"/>
      <c r="C113" s="300" t="s">
        <v>306</v>
      </c>
      <c r="D113" s="301">
        <f>PRESUPUESTO!S15</f>
        <v>10235.993403169346</v>
      </c>
      <c r="E113" s="301">
        <v>0</v>
      </c>
      <c r="F113" s="301">
        <v>0</v>
      </c>
      <c r="G113" s="301">
        <v>12500</v>
      </c>
      <c r="H113" s="301">
        <v>0</v>
      </c>
      <c r="I113" s="301">
        <f t="shared" si="16"/>
        <v>12500</v>
      </c>
      <c r="J113" s="301">
        <f t="shared" si="17"/>
        <v>-2264.0065968306535</v>
      </c>
      <c r="K113" s="302" t="s">
        <v>342</v>
      </c>
    </row>
    <row r="114" spans="1:11" ht="12.75">
      <c r="A114" s="299"/>
      <c r="B114" s="300"/>
      <c r="C114" s="300" t="s">
        <v>307</v>
      </c>
      <c r="D114" s="301">
        <f>PRESUPUESTO!S16</f>
        <v>22000</v>
      </c>
      <c r="E114" s="301"/>
      <c r="F114" s="301"/>
      <c r="G114" s="301"/>
      <c r="H114" s="301"/>
      <c r="I114" s="301"/>
      <c r="J114" s="301">
        <f t="shared" si="17"/>
        <v>22000</v>
      </c>
      <c r="K114" s="302"/>
    </row>
    <row r="115" spans="1:11" ht="12.75">
      <c r="A115" s="299">
        <v>44841</v>
      </c>
      <c r="B115" s="300"/>
      <c r="C115" s="300" t="s">
        <v>309</v>
      </c>
      <c r="D115" s="301">
        <f>PRESUPUESTO!S17</f>
        <v>4503.8370973945121</v>
      </c>
      <c r="E115" s="301">
        <v>0</v>
      </c>
      <c r="F115" s="301">
        <v>0</v>
      </c>
      <c r="G115" s="301">
        <v>1027.07</v>
      </c>
      <c r="H115" s="301">
        <v>0</v>
      </c>
      <c r="I115" s="301">
        <f t="shared" ref="I115:I119" si="18">SUM(E115:H115)</f>
        <v>1027.07</v>
      </c>
      <c r="J115" s="301">
        <f t="shared" si="17"/>
        <v>3476.7670973945123</v>
      </c>
      <c r="K115" s="302"/>
    </row>
    <row r="116" spans="1:11" ht="12.75">
      <c r="A116" s="299">
        <v>44834</v>
      </c>
      <c r="B116" s="300"/>
      <c r="C116" s="300" t="s">
        <v>311</v>
      </c>
      <c r="D116" s="301">
        <f>PRESUPUESTO!S18</f>
        <v>4503.8370973945121</v>
      </c>
      <c r="E116" s="301">
        <v>0</v>
      </c>
      <c r="F116" s="58">
        <f>263.65+190.08+39.92</f>
        <v>493.65000000000003</v>
      </c>
      <c r="G116" s="301">
        <v>0</v>
      </c>
      <c r="H116" s="301">
        <v>0</v>
      </c>
      <c r="I116" s="301">
        <f t="shared" si="18"/>
        <v>493.65000000000003</v>
      </c>
      <c r="J116" s="301">
        <f t="shared" si="17"/>
        <v>4010.187097394512</v>
      </c>
      <c r="K116" s="302"/>
    </row>
    <row r="117" spans="1:11" ht="12.75">
      <c r="A117" s="299">
        <v>44834</v>
      </c>
      <c r="B117" s="300"/>
      <c r="C117" s="300" t="s">
        <v>312</v>
      </c>
      <c r="D117" s="301">
        <f>PRESUPUESTO!S19</f>
        <v>4503.8370973945121</v>
      </c>
      <c r="E117" s="301">
        <v>0</v>
      </c>
      <c r="F117" s="58">
        <f>1577.3-1423.9+9872.22-9302.51+21573.4-21363.66</f>
        <v>932.85000000000218</v>
      </c>
      <c r="G117" s="301">
        <v>0</v>
      </c>
      <c r="H117" s="301">
        <v>0</v>
      </c>
      <c r="I117" s="301">
        <f t="shared" si="18"/>
        <v>932.85000000000218</v>
      </c>
      <c r="J117" s="301">
        <f t="shared" si="17"/>
        <v>3570.9870973945099</v>
      </c>
      <c r="K117" s="302"/>
    </row>
    <row r="118" spans="1:11" ht="12.75">
      <c r="A118" s="299">
        <v>44834</v>
      </c>
      <c r="B118" s="300" t="s">
        <v>343</v>
      </c>
      <c r="C118" s="300" t="s">
        <v>96</v>
      </c>
      <c r="D118" s="301">
        <f>PRESUPUESTO!S20</f>
        <v>10235.993403169346</v>
      </c>
      <c r="E118" s="301">
        <v>0</v>
      </c>
      <c r="F118" s="301">
        <v>0</v>
      </c>
      <c r="G118" s="301">
        <v>0</v>
      </c>
      <c r="H118" s="301">
        <v>0</v>
      </c>
      <c r="I118" s="301">
        <f t="shared" si="18"/>
        <v>0</v>
      </c>
      <c r="J118" s="301">
        <f t="shared" si="17"/>
        <v>10235.993403169346</v>
      </c>
      <c r="K118" s="302"/>
    </row>
    <row r="119" spans="1:11" ht="12.75">
      <c r="A119" s="299"/>
      <c r="B119" s="300"/>
      <c r="C119" s="300" t="s">
        <v>99</v>
      </c>
      <c r="D119" s="301">
        <f>PRESUPUESTO!S21</f>
        <v>10235.993403169346</v>
      </c>
      <c r="E119" s="301">
        <v>0</v>
      </c>
      <c r="F119" s="301">
        <v>0</v>
      </c>
      <c r="G119" s="301">
        <v>0</v>
      </c>
      <c r="H119" s="301">
        <v>0</v>
      </c>
      <c r="I119" s="301">
        <f t="shared" si="18"/>
        <v>0</v>
      </c>
      <c r="J119" s="301">
        <f t="shared" si="17"/>
        <v>10235.993403169346</v>
      </c>
      <c r="K119" s="302"/>
    </row>
    <row r="120" spans="1:11" ht="12.75">
      <c r="A120" s="493" t="s">
        <v>25</v>
      </c>
      <c r="B120" s="456"/>
      <c r="C120" s="456"/>
      <c r="D120" s="456"/>
      <c r="E120" s="456"/>
      <c r="F120" s="456"/>
      <c r="G120" s="456"/>
      <c r="H120" s="456"/>
      <c r="I120" s="456"/>
      <c r="J120" s="456"/>
      <c r="K120" s="298"/>
    </row>
    <row r="121" spans="1:11" ht="12.75">
      <c r="A121" s="299">
        <v>44875</v>
      </c>
      <c r="B121" s="302" t="s">
        <v>344</v>
      </c>
      <c r="C121" s="300" t="s">
        <v>71</v>
      </c>
      <c r="D121" s="301">
        <f>PRESUPUESTO!V4</f>
        <v>110000</v>
      </c>
      <c r="E121" s="301">
        <v>37000</v>
      </c>
      <c r="F121" s="301">
        <v>0</v>
      </c>
      <c r="G121" s="301">
        <v>43000</v>
      </c>
      <c r="H121" s="301">
        <v>0</v>
      </c>
      <c r="I121" s="301">
        <f t="shared" ref="I121:I132" si="19">SUM(E121:H121)</f>
        <v>80000</v>
      </c>
      <c r="J121" s="301">
        <f t="shared" ref="J121:J138" si="20">D121-I121</f>
        <v>30000</v>
      </c>
    </row>
    <row r="122" spans="1:11" ht="12.75">
      <c r="A122" s="299">
        <v>44888</v>
      </c>
      <c r="B122" s="302" t="s">
        <v>345</v>
      </c>
      <c r="C122" s="300" t="s">
        <v>73</v>
      </c>
      <c r="D122" s="301">
        <f>PRESUPUESTO!V5</f>
        <v>21618.418067493654</v>
      </c>
      <c r="E122" s="301">
        <v>0</v>
      </c>
      <c r="F122" s="301">
        <v>7911.73</v>
      </c>
      <c r="G122" s="301">
        <v>0</v>
      </c>
      <c r="H122" s="301">
        <v>0</v>
      </c>
      <c r="I122" s="301">
        <f t="shared" si="19"/>
        <v>7911.73</v>
      </c>
      <c r="J122" s="301">
        <f t="shared" si="20"/>
        <v>13706.688067493655</v>
      </c>
    </row>
    <row r="123" spans="1:11" ht="12.75">
      <c r="A123" s="299">
        <v>44880</v>
      </c>
      <c r="B123" s="302" t="s">
        <v>346</v>
      </c>
      <c r="C123" s="300" t="s">
        <v>74</v>
      </c>
      <c r="D123" s="301">
        <f>PRESUPUESTO!V6</f>
        <v>2500.5303564734336</v>
      </c>
      <c r="E123" s="301">
        <v>0</v>
      </c>
      <c r="F123" s="301">
        <v>0</v>
      </c>
      <c r="G123" s="301">
        <v>555.02</v>
      </c>
      <c r="H123" s="301">
        <v>0</v>
      </c>
      <c r="I123" s="301">
        <f t="shared" si="19"/>
        <v>555.02</v>
      </c>
      <c r="J123" s="301">
        <f t="shared" si="20"/>
        <v>1945.5103564734336</v>
      </c>
    </row>
    <row r="124" spans="1:11" ht="12.75">
      <c r="A124" s="299">
        <v>44880</v>
      </c>
      <c r="B124" s="302" t="s">
        <v>347</v>
      </c>
      <c r="C124" s="300" t="s">
        <v>75</v>
      </c>
      <c r="D124" s="301">
        <f>PRESUPUESTO!V7</f>
        <v>64843.561502500066</v>
      </c>
      <c r="E124" s="301">
        <v>0</v>
      </c>
      <c r="F124" s="301">
        <v>0</v>
      </c>
      <c r="G124" s="301">
        <v>10938</v>
      </c>
      <c r="H124" s="301">
        <v>0</v>
      </c>
      <c r="I124" s="301">
        <f t="shared" si="19"/>
        <v>10938</v>
      </c>
      <c r="J124" s="301">
        <f t="shared" si="20"/>
        <v>53905.561502500066</v>
      </c>
    </row>
    <row r="125" spans="1:11" ht="12.75">
      <c r="A125" s="299">
        <v>44888</v>
      </c>
      <c r="B125" s="302" t="s">
        <v>348</v>
      </c>
      <c r="C125" s="300" t="s">
        <v>78</v>
      </c>
      <c r="D125" s="301">
        <f>PRESUPUESTO!V8</f>
        <v>29274.941133064334</v>
      </c>
      <c r="E125" s="301">
        <v>0</v>
      </c>
      <c r="F125" s="301">
        <v>8288.5</v>
      </c>
      <c r="G125" s="301">
        <v>0</v>
      </c>
      <c r="H125" s="301">
        <v>0</v>
      </c>
      <c r="I125" s="301">
        <f t="shared" si="19"/>
        <v>8288.5</v>
      </c>
      <c r="J125" s="301">
        <f t="shared" si="20"/>
        <v>20986.441133064334</v>
      </c>
    </row>
    <row r="126" spans="1:11" ht="12.75">
      <c r="A126" s="299">
        <v>44887</v>
      </c>
      <c r="B126" s="306" t="s">
        <v>349</v>
      </c>
      <c r="C126" s="300" t="s">
        <v>304</v>
      </c>
      <c r="D126" s="301">
        <f>PRESUPUESTO!V9</f>
        <v>22519.185486972565</v>
      </c>
      <c r="E126" s="301">
        <v>0</v>
      </c>
      <c r="F126" s="301">
        <v>0</v>
      </c>
      <c r="G126" s="301">
        <v>5017</v>
      </c>
      <c r="H126" s="301">
        <v>0</v>
      </c>
      <c r="I126" s="301">
        <f t="shared" si="19"/>
        <v>5017</v>
      </c>
      <c r="J126" s="301">
        <f t="shared" si="20"/>
        <v>17502.185486972565</v>
      </c>
    </row>
    <row r="127" spans="1:11" ht="12.75">
      <c r="A127" s="299"/>
      <c r="B127" s="300"/>
      <c r="C127" s="300" t="s">
        <v>305</v>
      </c>
      <c r="D127" s="301">
        <f>PRESUPUESTO!V10</f>
        <v>22519.185486972565</v>
      </c>
      <c r="E127" s="301">
        <v>0</v>
      </c>
      <c r="F127" s="301">
        <v>0</v>
      </c>
      <c r="G127" s="301">
        <v>0</v>
      </c>
      <c r="H127" s="301">
        <v>0</v>
      </c>
      <c r="I127" s="301">
        <f t="shared" si="19"/>
        <v>0</v>
      </c>
      <c r="J127" s="301">
        <f t="shared" si="20"/>
        <v>22519.185486972565</v>
      </c>
      <c r="K127" s="302"/>
    </row>
    <row r="128" spans="1:11" ht="12.75">
      <c r="A128" s="299">
        <v>44879</v>
      </c>
      <c r="B128" s="300"/>
      <c r="C128" s="300" t="s">
        <v>84</v>
      </c>
      <c r="D128" s="301">
        <f>PRESUPUESTO!V11</f>
        <v>6755.7556460917685</v>
      </c>
      <c r="E128" s="301">
        <v>1500</v>
      </c>
      <c r="F128" s="301">
        <v>0</v>
      </c>
      <c r="G128" s="301">
        <v>0</v>
      </c>
      <c r="H128" s="301">
        <v>0</v>
      </c>
      <c r="I128" s="301">
        <f t="shared" si="19"/>
        <v>1500</v>
      </c>
      <c r="J128" s="301">
        <f t="shared" si="20"/>
        <v>5255.7556460917685</v>
      </c>
      <c r="K128" s="302"/>
    </row>
    <row r="129" spans="1:11" ht="12.75">
      <c r="A129" s="299"/>
      <c r="B129" s="300"/>
      <c r="C129" s="300" t="s">
        <v>86</v>
      </c>
      <c r="D129" s="301">
        <f>PRESUPUESTO!V12</f>
        <v>2251.918548697256</v>
      </c>
      <c r="E129" s="301"/>
      <c r="F129" s="301">
        <v>0</v>
      </c>
      <c r="G129" s="301">
        <v>0</v>
      </c>
      <c r="H129" s="301">
        <v>0</v>
      </c>
      <c r="I129" s="301">
        <f t="shared" si="19"/>
        <v>0</v>
      </c>
      <c r="J129" s="301">
        <f t="shared" si="20"/>
        <v>2251.918548697256</v>
      </c>
      <c r="K129" s="302"/>
    </row>
    <row r="130" spans="1:11" ht="12.75">
      <c r="A130" s="299"/>
      <c r="B130" s="300"/>
      <c r="C130" s="300" t="s">
        <v>87</v>
      </c>
      <c r="D130" s="301">
        <f>PRESUPUESTO!V13</f>
        <v>4503.8370973945121</v>
      </c>
      <c r="E130" s="301">
        <v>0</v>
      </c>
      <c r="F130" s="301">
        <v>0</v>
      </c>
      <c r="G130" s="301">
        <v>0</v>
      </c>
      <c r="H130" s="301">
        <v>0</v>
      </c>
      <c r="I130" s="301">
        <f t="shared" si="19"/>
        <v>0</v>
      </c>
      <c r="J130" s="301">
        <f t="shared" si="20"/>
        <v>4503.8370973945121</v>
      </c>
      <c r="K130" s="302"/>
    </row>
    <row r="131" spans="1:11" ht="12.75">
      <c r="A131" s="299"/>
      <c r="B131" s="300"/>
      <c r="C131" s="300" t="s">
        <v>88</v>
      </c>
      <c r="D131" s="301">
        <f>PRESUPUESTO!V14</f>
        <v>4503.8370973945121</v>
      </c>
      <c r="E131" s="301">
        <v>0</v>
      </c>
      <c r="F131" s="301">
        <v>0</v>
      </c>
      <c r="G131" s="301">
        <v>0</v>
      </c>
      <c r="H131" s="301">
        <v>0</v>
      </c>
      <c r="I131" s="301">
        <f t="shared" si="19"/>
        <v>0</v>
      </c>
      <c r="J131" s="301">
        <f t="shared" si="20"/>
        <v>4503.8370973945121</v>
      </c>
      <c r="K131" s="302"/>
    </row>
    <row r="132" spans="1:11" ht="12.75">
      <c r="A132" s="299"/>
      <c r="B132" s="300"/>
      <c r="C132" s="300" t="s">
        <v>306</v>
      </c>
      <c r="D132" s="301">
        <f>PRESUPUESTO!V15</f>
        <v>11259.592743486282</v>
      </c>
      <c r="E132" s="301">
        <v>0</v>
      </c>
      <c r="F132" s="301">
        <v>0</v>
      </c>
      <c r="G132" s="301">
        <v>0</v>
      </c>
      <c r="H132" s="301">
        <v>0</v>
      </c>
      <c r="I132" s="301">
        <f t="shared" si="19"/>
        <v>0</v>
      </c>
      <c r="J132" s="301">
        <f t="shared" si="20"/>
        <v>11259.592743486282</v>
      </c>
      <c r="K132" s="302"/>
    </row>
    <row r="133" spans="1:11" ht="12.75">
      <c r="A133" s="299"/>
      <c r="B133" s="300"/>
      <c r="C133" s="300" t="s">
        <v>307</v>
      </c>
      <c r="D133" s="301">
        <f>PRESUPUESTO!V16</f>
        <v>22000</v>
      </c>
      <c r="E133" s="301"/>
      <c r="F133" s="301"/>
      <c r="G133" s="301"/>
      <c r="H133" s="301"/>
      <c r="I133" s="301"/>
      <c r="J133" s="301">
        <f t="shared" si="20"/>
        <v>22000</v>
      </c>
      <c r="K133" s="302"/>
    </row>
    <row r="134" spans="1:11" ht="12.75">
      <c r="A134" s="299">
        <v>44872</v>
      </c>
      <c r="B134" s="300"/>
      <c r="C134" s="300" t="s">
        <v>309</v>
      </c>
      <c r="D134" s="301">
        <f>PRESUPUESTO!V17</f>
        <v>4954.2208071339637</v>
      </c>
      <c r="E134" s="301">
        <v>0</v>
      </c>
      <c r="F134" s="301">
        <v>0</v>
      </c>
      <c r="G134" s="301">
        <v>782.13</v>
      </c>
      <c r="H134" s="301">
        <v>0</v>
      </c>
      <c r="I134" s="301">
        <f t="shared" ref="I134:I138" si="21">SUM(E134:H134)</f>
        <v>782.13</v>
      </c>
      <c r="J134" s="301">
        <f t="shared" si="20"/>
        <v>4172.0908071339636</v>
      </c>
      <c r="K134" s="302"/>
    </row>
    <row r="135" spans="1:11" ht="12.75">
      <c r="A135" s="299">
        <v>44865</v>
      </c>
      <c r="B135" s="300"/>
      <c r="C135" s="300" t="s">
        <v>311</v>
      </c>
      <c r="D135" s="301">
        <f>PRESUPUESTO!V18</f>
        <v>4954.2208071339637</v>
      </c>
      <c r="E135" s="301">
        <v>0</v>
      </c>
      <c r="F135" s="301">
        <f>299.65+190.08</f>
        <v>489.73</v>
      </c>
      <c r="G135" s="301"/>
      <c r="H135" s="301">
        <v>0</v>
      </c>
      <c r="I135" s="301">
        <f t="shared" si="21"/>
        <v>489.73</v>
      </c>
      <c r="J135" s="301">
        <f t="shared" si="20"/>
        <v>4464.4908071339632</v>
      </c>
      <c r="K135" s="302"/>
    </row>
    <row r="136" spans="1:11" ht="12.75">
      <c r="A136" s="299">
        <v>44865</v>
      </c>
      <c r="B136" s="300"/>
      <c r="C136" s="300" t="s">
        <v>312</v>
      </c>
      <c r="D136" s="301">
        <f>PRESUPUESTO!V19</f>
        <v>4954.2208071339637</v>
      </c>
      <c r="E136" s="301">
        <v>0</v>
      </c>
      <c r="F136" s="301">
        <f>3812-3545.82+3165.1-3008.85</f>
        <v>422.42999999999984</v>
      </c>
      <c r="G136" s="301">
        <v>0</v>
      </c>
      <c r="H136" s="301">
        <v>0</v>
      </c>
      <c r="I136" s="301">
        <f t="shared" si="21"/>
        <v>422.42999999999984</v>
      </c>
      <c r="J136" s="301">
        <f t="shared" si="20"/>
        <v>4531.7908071339643</v>
      </c>
      <c r="K136" s="302"/>
    </row>
    <row r="137" spans="1:11" ht="12.75">
      <c r="A137" s="299">
        <v>44865</v>
      </c>
      <c r="B137" s="300" t="s">
        <v>350</v>
      </c>
      <c r="C137" s="300" t="s">
        <v>96</v>
      </c>
      <c r="D137" s="301">
        <f>PRESUPUESTO!V20</f>
        <v>11259.592743486282</v>
      </c>
      <c r="E137" s="301">
        <v>0</v>
      </c>
      <c r="F137" s="301">
        <v>0</v>
      </c>
      <c r="G137" s="301">
        <v>0</v>
      </c>
      <c r="H137" s="301">
        <v>0</v>
      </c>
      <c r="I137" s="301">
        <f t="shared" si="21"/>
        <v>0</v>
      </c>
      <c r="J137" s="301">
        <f t="shared" si="20"/>
        <v>11259.592743486282</v>
      </c>
      <c r="K137" s="302"/>
    </row>
    <row r="138" spans="1:11" ht="12.75">
      <c r="A138" s="299">
        <v>44879</v>
      </c>
      <c r="B138" s="300"/>
      <c r="C138" s="300" t="s">
        <v>99</v>
      </c>
      <c r="D138" s="301">
        <f>PRESUPUESTO!V21</f>
        <v>11259.592743486282</v>
      </c>
      <c r="E138" s="301">
        <v>0</v>
      </c>
      <c r="F138" s="301">
        <f>4295.5+26.79+147.21</f>
        <v>4469.5</v>
      </c>
      <c r="G138" s="301">
        <v>0</v>
      </c>
      <c r="H138" s="301">
        <v>0</v>
      </c>
      <c r="I138" s="301">
        <f t="shared" si="21"/>
        <v>4469.5</v>
      </c>
      <c r="J138" s="301">
        <f t="shared" si="20"/>
        <v>6790.0927434862824</v>
      </c>
      <c r="K138" s="302"/>
    </row>
    <row r="139" spans="1:11" ht="12.75">
      <c r="A139" s="493" t="s">
        <v>26</v>
      </c>
      <c r="B139" s="456"/>
      <c r="C139" s="456"/>
      <c r="D139" s="456"/>
      <c r="E139" s="456"/>
      <c r="F139" s="456"/>
      <c r="G139" s="456"/>
      <c r="H139" s="456"/>
      <c r="I139" s="456"/>
      <c r="J139" s="456"/>
      <c r="K139" s="298"/>
    </row>
    <row r="140" spans="1:11" ht="12.75">
      <c r="A140" s="299">
        <v>44905</v>
      </c>
      <c r="B140" s="300"/>
      <c r="C140" s="300" t="s">
        <v>71</v>
      </c>
      <c r="D140" s="301">
        <f>PRESUPUESTO!Y4</f>
        <v>110000</v>
      </c>
      <c r="E140" s="301">
        <v>80000</v>
      </c>
      <c r="F140" s="301">
        <v>0</v>
      </c>
      <c r="G140" s="301">
        <v>0</v>
      </c>
      <c r="H140" s="301">
        <v>0</v>
      </c>
      <c r="I140" s="301">
        <f t="shared" ref="I140:I151" si="22">SUM(E140:H140)</f>
        <v>80000</v>
      </c>
      <c r="J140" s="301">
        <f t="shared" ref="J140:J158" si="23">D140-I140</f>
        <v>30000</v>
      </c>
      <c r="K140" s="302"/>
    </row>
    <row r="141" spans="1:11" ht="12.75">
      <c r="A141" s="299">
        <v>44900</v>
      </c>
      <c r="B141" s="300">
        <v>20298992</v>
      </c>
      <c r="C141" s="300" t="s">
        <v>73</v>
      </c>
      <c r="D141" s="301">
        <f>PRESUPUESTO!Y5</f>
        <v>23780.25987424302</v>
      </c>
      <c r="E141" s="301">
        <v>0</v>
      </c>
      <c r="F141" s="301">
        <v>7911.73</v>
      </c>
      <c r="G141" s="301">
        <v>0</v>
      </c>
      <c r="H141" s="301"/>
      <c r="I141" s="301">
        <f t="shared" si="22"/>
        <v>7911.73</v>
      </c>
      <c r="J141" s="301">
        <f t="shared" si="23"/>
        <v>15868.52987424302</v>
      </c>
      <c r="K141" s="302"/>
    </row>
    <row r="142" spans="1:11" ht="12.75">
      <c r="A142" s="299">
        <v>44922</v>
      </c>
      <c r="B142" s="300">
        <v>58934</v>
      </c>
      <c r="C142" s="300" t="s">
        <v>74</v>
      </c>
      <c r="D142" s="301">
        <f>PRESUPUESTO!Y6</f>
        <v>2750.5833921207773</v>
      </c>
      <c r="E142" s="301">
        <v>0</v>
      </c>
      <c r="F142" s="301">
        <v>555.02</v>
      </c>
      <c r="G142" s="301">
        <v>0</v>
      </c>
      <c r="H142" s="301">
        <v>0</v>
      </c>
      <c r="I142" s="301">
        <f t="shared" si="22"/>
        <v>555.02</v>
      </c>
      <c r="J142" s="301">
        <f t="shared" si="23"/>
        <v>2195.5633921207773</v>
      </c>
      <c r="K142" s="302"/>
    </row>
    <row r="143" spans="1:11" ht="12.75">
      <c r="A143" s="299">
        <v>44922</v>
      </c>
      <c r="B143" s="300">
        <v>53018205104</v>
      </c>
      <c r="C143" s="300" t="s">
        <v>75</v>
      </c>
      <c r="D143" s="301">
        <f>PRESUPUESTO!Y7</f>
        <v>71327.917652750082</v>
      </c>
      <c r="E143" s="301">
        <v>0</v>
      </c>
      <c r="F143" s="301">
        <v>0</v>
      </c>
      <c r="G143" s="301">
        <v>20324.689999999999</v>
      </c>
      <c r="H143" s="301">
        <v>0</v>
      </c>
      <c r="I143" s="301">
        <f t="shared" si="22"/>
        <v>20324.689999999999</v>
      </c>
      <c r="J143" s="301">
        <f t="shared" si="23"/>
        <v>51003.22765275008</v>
      </c>
      <c r="K143" s="302"/>
    </row>
    <row r="144" spans="1:11" ht="12.75">
      <c r="A144" s="299">
        <v>44922</v>
      </c>
      <c r="B144" s="300">
        <v>53017131818</v>
      </c>
      <c r="C144" s="300" t="s">
        <v>78</v>
      </c>
      <c r="D144" s="301">
        <f>PRESUPUESTO!Y8</f>
        <v>32202.435246370769</v>
      </c>
      <c r="E144" s="301">
        <v>0</v>
      </c>
      <c r="F144" s="301">
        <v>0</v>
      </c>
      <c r="G144" s="301">
        <v>8288.5</v>
      </c>
      <c r="H144" s="301">
        <v>0</v>
      </c>
      <c r="I144" s="301">
        <f t="shared" si="22"/>
        <v>8288.5</v>
      </c>
      <c r="J144" s="301">
        <f t="shared" si="23"/>
        <v>23913.935246370769</v>
      </c>
      <c r="K144" s="302"/>
    </row>
    <row r="145" spans="1:11" ht="12.75">
      <c r="A145" s="299">
        <v>44923</v>
      </c>
      <c r="B145" s="300">
        <v>53060870606</v>
      </c>
      <c r="C145" s="300" t="s">
        <v>304</v>
      </c>
      <c r="D145" s="301">
        <f>PRESUPUESTO!Y9</f>
        <v>24771.104035669825</v>
      </c>
      <c r="E145" s="301">
        <v>0</v>
      </c>
      <c r="F145" s="301">
        <v>0</v>
      </c>
      <c r="G145" s="301">
        <v>5222</v>
      </c>
      <c r="H145" s="301">
        <v>0</v>
      </c>
      <c r="I145" s="301">
        <f t="shared" si="22"/>
        <v>5222</v>
      </c>
      <c r="J145" s="301">
        <f t="shared" si="23"/>
        <v>19549.104035669825</v>
      </c>
      <c r="K145" s="302"/>
    </row>
    <row r="146" spans="1:11" ht="12.75">
      <c r="A146" s="299"/>
      <c r="B146" s="300"/>
      <c r="C146" s="300" t="s">
        <v>305</v>
      </c>
      <c r="D146" s="301">
        <f>PRESUPUESTO!Y10</f>
        <v>24771.104035669825</v>
      </c>
      <c r="E146" s="301">
        <v>0</v>
      </c>
      <c r="F146" s="301">
        <v>0</v>
      </c>
      <c r="G146" s="301">
        <v>0</v>
      </c>
      <c r="H146" s="301">
        <v>0</v>
      </c>
      <c r="I146" s="301">
        <f t="shared" si="22"/>
        <v>0</v>
      </c>
      <c r="J146" s="301">
        <f t="shared" si="23"/>
        <v>24771.104035669825</v>
      </c>
      <c r="K146" s="302"/>
    </row>
    <row r="147" spans="1:11" ht="12.75">
      <c r="A147" s="299">
        <v>44907</v>
      </c>
      <c r="B147" s="307">
        <v>1387924</v>
      </c>
      <c r="C147" s="300" t="s">
        <v>84</v>
      </c>
      <c r="D147" s="301">
        <f>PRESUPUESTO!Y11</f>
        <v>7431.331210700946</v>
      </c>
      <c r="E147" s="301">
        <v>1800</v>
      </c>
      <c r="F147" s="301">
        <v>0</v>
      </c>
      <c r="G147" s="301">
        <v>0</v>
      </c>
      <c r="H147" s="301">
        <v>0</v>
      </c>
      <c r="I147" s="301">
        <f t="shared" si="22"/>
        <v>1800</v>
      </c>
      <c r="J147" s="301">
        <f t="shared" si="23"/>
        <v>5631.331210700946</v>
      </c>
      <c r="K147" s="302"/>
    </row>
    <row r="148" spans="1:11" ht="12.75">
      <c r="A148" s="299"/>
      <c r="B148" s="300"/>
      <c r="C148" s="300" t="s">
        <v>86</v>
      </c>
      <c r="D148" s="301">
        <f>PRESUPUESTO!Y12</f>
        <v>2477.1104035669819</v>
      </c>
      <c r="E148" s="301">
        <v>0</v>
      </c>
      <c r="F148" s="301">
        <v>0</v>
      </c>
      <c r="G148" s="301">
        <v>0</v>
      </c>
      <c r="H148" s="301">
        <v>0</v>
      </c>
      <c r="I148" s="301">
        <f t="shared" si="22"/>
        <v>0</v>
      </c>
      <c r="J148" s="301">
        <f t="shared" si="23"/>
        <v>2477.1104035669819</v>
      </c>
      <c r="K148" s="302"/>
    </row>
    <row r="149" spans="1:11" ht="12.75">
      <c r="A149" s="299"/>
      <c r="B149" s="300"/>
      <c r="C149" s="300" t="s">
        <v>87</v>
      </c>
      <c r="D149" s="301">
        <f>PRESUPUESTO!Y13</f>
        <v>4954.2208071339637</v>
      </c>
      <c r="E149" s="301">
        <v>0</v>
      </c>
      <c r="F149" s="301">
        <v>0</v>
      </c>
      <c r="G149" s="301">
        <v>0</v>
      </c>
      <c r="H149" s="301">
        <v>0</v>
      </c>
      <c r="I149" s="301">
        <f t="shared" si="22"/>
        <v>0</v>
      </c>
      <c r="J149" s="301">
        <f t="shared" si="23"/>
        <v>4954.2208071339637</v>
      </c>
      <c r="K149" s="302"/>
    </row>
    <row r="150" spans="1:11" ht="12.75">
      <c r="A150" s="299"/>
      <c r="B150" s="300"/>
      <c r="C150" s="300" t="s">
        <v>88</v>
      </c>
      <c r="D150" s="301">
        <f>PRESUPUESTO!Y14</f>
        <v>4954.2208071339637</v>
      </c>
      <c r="E150" s="301">
        <v>0</v>
      </c>
      <c r="F150" s="301">
        <v>0</v>
      </c>
      <c r="G150" s="301">
        <v>0</v>
      </c>
      <c r="H150" s="301">
        <v>0</v>
      </c>
      <c r="I150" s="301">
        <f t="shared" si="22"/>
        <v>0</v>
      </c>
      <c r="J150" s="301">
        <f t="shared" si="23"/>
        <v>4954.2208071339637</v>
      </c>
      <c r="K150" s="302"/>
    </row>
    <row r="151" spans="1:11" ht="12.75">
      <c r="A151" s="299"/>
      <c r="B151" s="300"/>
      <c r="C151" s="300" t="s">
        <v>306</v>
      </c>
      <c r="D151" s="301">
        <f>PRESUPUESTO!Y15</f>
        <v>12385.552017834912</v>
      </c>
      <c r="E151" s="301">
        <v>0</v>
      </c>
      <c r="F151" s="301">
        <v>0</v>
      </c>
      <c r="G151" s="301">
        <v>0</v>
      </c>
      <c r="H151" s="301">
        <v>0</v>
      </c>
      <c r="I151" s="301">
        <f t="shared" si="22"/>
        <v>0</v>
      </c>
      <c r="J151" s="301">
        <f t="shared" si="23"/>
        <v>12385.552017834912</v>
      </c>
      <c r="K151" s="302"/>
    </row>
    <row r="152" spans="1:11" ht="12.75">
      <c r="A152" s="299"/>
      <c r="B152" s="300"/>
      <c r="C152" s="300" t="s">
        <v>307</v>
      </c>
      <c r="D152" s="301">
        <f>PRESUPUESTO!Y16</f>
        <v>22000</v>
      </c>
      <c r="E152" s="301"/>
      <c r="F152" s="301"/>
      <c r="G152" s="301"/>
      <c r="H152" s="301"/>
      <c r="I152" s="301"/>
      <c r="J152" s="301">
        <f t="shared" si="23"/>
        <v>22000</v>
      </c>
      <c r="K152" s="302"/>
    </row>
    <row r="153" spans="1:11" ht="12.75">
      <c r="A153" s="299">
        <v>44902</v>
      </c>
      <c r="B153" s="300"/>
      <c r="C153" s="300" t="s">
        <v>309</v>
      </c>
      <c r="D153" s="301">
        <f>PRESUPUESTO!Y17</f>
        <v>5449.6428878473607</v>
      </c>
      <c r="E153" s="301">
        <v>0</v>
      </c>
      <c r="F153" s="301">
        <v>0</v>
      </c>
      <c r="G153" s="301">
        <v>821.77</v>
      </c>
      <c r="H153" s="301">
        <v>0</v>
      </c>
      <c r="I153" s="301">
        <f t="shared" ref="I153:I157" si="24">SUM(E153:H153)</f>
        <v>821.77</v>
      </c>
      <c r="J153" s="301">
        <f t="shared" si="23"/>
        <v>4627.8728878473612</v>
      </c>
      <c r="K153" s="302"/>
    </row>
    <row r="154" spans="1:11" ht="12.75">
      <c r="A154" s="299">
        <v>44895</v>
      </c>
      <c r="B154" s="300"/>
      <c r="C154" s="300" t="s">
        <v>311</v>
      </c>
      <c r="D154" s="301">
        <f>PRESUPUESTO!Y18</f>
        <v>5449.6428878473607</v>
      </c>
      <c r="E154" s="301">
        <v>0</v>
      </c>
      <c r="F154" s="301">
        <f>392.26+237.6</f>
        <v>629.86</v>
      </c>
      <c r="G154" s="301"/>
      <c r="H154" s="301">
        <v>0</v>
      </c>
      <c r="I154" s="301">
        <f t="shared" si="24"/>
        <v>629.86</v>
      </c>
      <c r="J154" s="301">
        <f t="shared" si="23"/>
        <v>4819.7828878473611</v>
      </c>
      <c r="K154" s="302"/>
    </row>
    <row r="155" spans="1:11" ht="12.75">
      <c r="A155" s="299">
        <v>44895</v>
      </c>
      <c r="B155" s="300"/>
      <c r="C155" s="300" t="s">
        <v>312</v>
      </c>
      <c r="D155" s="301">
        <f>PRESUPUESTO!Y19</f>
        <v>5449.6428878473607</v>
      </c>
      <c r="E155" s="301">
        <v>0</v>
      </c>
      <c r="F155" s="301">
        <f>259.48+106.39</f>
        <v>365.87</v>
      </c>
      <c r="G155" s="301">
        <v>0</v>
      </c>
      <c r="H155" s="301">
        <v>0</v>
      </c>
      <c r="I155" s="301">
        <f t="shared" si="24"/>
        <v>365.87</v>
      </c>
      <c r="J155" s="301">
        <f t="shared" si="23"/>
        <v>5083.7728878473608</v>
      </c>
      <c r="K155" s="302"/>
    </row>
    <row r="156" spans="1:11" ht="12.75">
      <c r="A156" s="299">
        <v>44895</v>
      </c>
      <c r="B156" s="300" t="s">
        <v>351</v>
      </c>
      <c r="C156" s="300" t="s">
        <v>96</v>
      </c>
      <c r="D156" s="301">
        <f>PRESUPUESTO!Y20</f>
        <v>12385.552017834912</v>
      </c>
      <c r="E156" s="301">
        <v>0</v>
      </c>
      <c r="F156" s="301">
        <v>0</v>
      </c>
      <c r="G156" s="301">
        <v>0</v>
      </c>
      <c r="H156" s="301">
        <v>0</v>
      </c>
      <c r="I156" s="301">
        <f t="shared" si="24"/>
        <v>0</v>
      </c>
      <c r="J156" s="301">
        <f t="shared" si="23"/>
        <v>12385.552017834912</v>
      </c>
      <c r="K156" s="302"/>
    </row>
    <row r="157" spans="1:11" ht="12.75">
      <c r="A157" s="299">
        <v>44919</v>
      </c>
      <c r="B157" s="300"/>
      <c r="C157" s="300" t="s">
        <v>99</v>
      </c>
      <c r="D157" s="301">
        <f>PRESUPUESTO!Y21</f>
        <v>12385.552017834912</v>
      </c>
      <c r="E157" s="301">
        <v>0</v>
      </c>
      <c r="F157" s="301">
        <f>4377.78+14.8+58.96+787.37+181.02+41.01</f>
        <v>5460.9400000000005</v>
      </c>
      <c r="G157" s="301">
        <v>0</v>
      </c>
      <c r="H157" s="301">
        <v>0</v>
      </c>
      <c r="I157" s="301">
        <f t="shared" si="24"/>
        <v>5460.9400000000005</v>
      </c>
      <c r="J157" s="301">
        <f t="shared" si="23"/>
        <v>6924.612017834912</v>
      </c>
      <c r="K157" s="302"/>
    </row>
    <row r="158" spans="1:11" ht="12.75">
      <c r="A158" s="299">
        <v>45284</v>
      </c>
      <c r="B158" s="300"/>
      <c r="C158" s="300" t="s">
        <v>352</v>
      </c>
      <c r="D158" s="301"/>
      <c r="E158" s="301"/>
      <c r="F158" s="301"/>
      <c r="G158" s="301">
        <v>493</v>
      </c>
      <c r="H158" s="301"/>
      <c r="I158" s="301"/>
      <c r="J158" s="301">
        <f t="shared" si="23"/>
        <v>0</v>
      </c>
      <c r="K158" s="302"/>
    </row>
    <row r="159" spans="1:11" ht="12.75">
      <c r="A159" s="493" t="s">
        <v>27</v>
      </c>
      <c r="B159" s="456"/>
      <c r="C159" s="456"/>
      <c r="D159" s="456"/>
      <c r="E159" s="456"/>
      <c r="F159" s="456"/>
      <c r="G159" s="456"/>
      <c r="H159" s="456"/>
      <c r="I159" s="456"/>
      <c r="J159" s="456"/>
      <c r="K159" s="298"/>
    </row>
    <row r="160" spans="1:11" ht="12.75">
      <c r="A160" s="299">
        <v>44937</v>
      </c>
      <c r="B160" s="300"/>
      <c r="C160" s="300" t="s">
        <v>71</v>
      </c>
      <c r="D160" s="301">
        <f>PRESUPUESTO!AB4</f>
        <v>110000</v>
      </c>
      <c r="E160" s="301">
        <v>80000</v>
      </c>
      <c r="F160" s="301">
        <v>0</v>
      </c>
      <c r="G160" s="301">
        <v>0</v>
      </c>
      <c r="H160" s="301">
        <v>0</v>
      </c>
      <c r="I160" s="301">
        <f t="shared" ref="I160:I171" si="25">SUM(E160:H160)</f>
        <v>80000</v>
      </c>
      <c r="J160" s="301">
        <f t="shared" ref="J160:J178" si="26">D160-I160</f>
        <v>30000</v>
      </c>
      <c r="K160" s="302"/>
    </row>
    <row r="161" spans="1:11" ht="12.75">
      <c r="A161" s="299">
        <v>44957</v>
      </c>
      <c r="B161" s="300">
        <v>19496732</v>
      </c>
      <c r="C161" s="300" t="s">
        <v>73</v>
      </c>
      <c r="D161" s="301">
        <f>PRESUPUESTO!AB5</f>
        <v>26158.285861667326</v>
      </c>
      <c r="E161" s="301"/>
      <c r="F161" s="301">
        <v>7911.73</v>
      </c>
      <c r="G161" s="301">
        <v>0</v>
      </c>
      <c r="H161" s="301">
        <v>0</v>
      </c>
      <c r="I161" s="301">
        <f t="shared" si="25"/>
        <v>7911.73</v>
      </c>
      <c r="J161" s="301">
        <f t="shared" si="26"/>
        <v>18246.555861667326</v>
      </c>
      <c r="K161" s="302"/>
    </row>
    <row r="162" spans="1:11" ht="12.75">
      <c r="A162" s="299">
        <v>44957</v>
      </c>
      <c r="B162" s="300">
        <v>19343694</v>
      </c>
      <c r="C162" s="300" t="s">
        <v>74</v>
      </c>
      <c r="D162" s="301">
        <f>PRESUPUESTO!AB6</f>
        <v>3025.6417313328552</v>
      </c>
      <c r="E162" s="301">
        <v>0</v>
      </c>
      <c r="F162" s="301">
        <v>1916.27</v>
      </c>
      <c r="G162" s="301">
        <v>0</v>
      </c>
      <c r="H162" s="301">
        <v>0</v>
      </c>
      <c r="I162" s="301">
        <f t="shared" si="25"/>
        <v>1916.27</v>
      </c>
      <c r="J162" s="301">
        <f t="shared" si="26"/>
        <v>1109.3717313328552</v>
      </c>
      <c r="K162" s="302"/>
    </row>
    <row r="163" spans="1:11" ht="14.25">
      <c r="A163" s="299">
        <v>44957</v>
      </c>
      <c r="B163" s="300"/>
      <c r="C163" s="300" t="s">
        <v>75</v>
      </c>
      <c r="D163" s="301">
        <f>PRESUPUESTO!AB7</f>
        <v>25000</v>
      </c>
      <c r="E163" s="301">
        <v>0</v>
      </c>
      <c r="F163" s="301">
        <v>0</v>
      </c>
      <c r="G163" s="308">
        <v>22379.82</v>
      </c>
      <c r="H163" s="301">
        <v>0</v>
      </c>
      <c r="I163" s="301">
        <f t="shared" si="25"/>
        <v>22379.82</v>
      </c>
      <c r="J163" s="301">
        <f t="shared" si="26"/>
        <v>2620.1800000000003</v>
      </c>
      <c r="K163" s="302"/>
    </row>
    <row r="164" spans="1:11" ht="12.75">
      <c r="A164" s="299">
        <v>44957</v>
      </c>
      <c r="B164" s="300"/>
      <c r="C164" s="300" t="s">
        <v>78</v>
      </c>
      <c r="D164" s="301">
        <f>PRESUPUESTO!AB8</f>
        <v>35422.67877100785</v>
      </c>
      <c r="E164" s="301">
        <v>10494.2</v>
      </c>
      <c r="F164" s="301">
        <v>0</v>
      </c>
      <c r="G164" s="301">
        <v>0</v>
      </c>
      <c r="H164" s="301"/>
      <c r="I164" s="301">
        <f t="shared" si="25"/>
        <v>10494.2</v>
      </c>
      <c r="J164" s="301">
        <f t="shared" si="26"/>
        <v>24928.478771007849</v>
      </c>
      <c r="K164" s="302"/>
    </row>
    <row r="165" spans="1:11" ht="12.75">
      <c r="A165" s="299">
        <v>44957</v>
      </c>
      <c r="B165" s="300"/>
      <c r="C165" s="300" t="s">
        <v>304</v>
      </c>
      <c r="D165" s="301">
        <f>PRESUPUESTO!AB9</f>
        <v>27248.21443923681</v>
      </c>
      <c r="E165" s="301">
        <v>6267</v>
      </c>
      <c r="F165" s="301">
        <v>0</v>
      </c>
      <c r="G165" s="301">
        <v>0</v>
      </c>
      <c r="H165" s="301"/>
      <c r="I165" s="301">
        <f t="shared" si="25"/>
        <v>6267</v>
      </c>
      <c r="J165" s="301">
        <f t="shared" si="26"/>
        <v>20981.21443923681</v>
      </c>
      <c r="K165" s="302"/>
    </row>
    <row r="166" spans="1:11" ht="12.75">
      <c r="A166" s="299"/>
      <c r="B166" s="300"/>
      <c r="C166" s="300" t="s">
        <v>305</v>
      </c>
      <c r="D166" s="301">
        <f>PRESUPUESTO!AB10</f>
        <v>27248.21443923681</v>
      </c>
      <c r="E166" s="301">
        <v>0</v>
      </c>
      <c r="F166" s="301">
        <v>0</v>
      </c>
      <c r="G166" s="301">
        <v>0</v>
      </c>
      <c r="H166" s="301">
        <v>0</v>
      </c>
      <c r="I166" s="301">
        <f t="shared" si="25"/>
        <v>0</v>
      </c>
      <c r="J166" s="301">
        <f t="shared" si="26"/>
        <v>27248.21443923681</v>
      </c>
      <c r="K166" s="302"/>
    </row>
    <row r="167" spans="1:11" ht="12.75">
      <c r="A167" s="299"/>
      <c r="B167" s="300"/>
      <c r="C167" s="300" t="s">
        <v>84</v>
      </c>
      <c r="D167" s="301">
        <f>PRESUPUESTO!AB11</f>
        <v>8174.4643317710415</v>
      </c>
      <c r="E167" s="301">
        <v>0</v>
      </c>
      <c r="F167" s="301">
        <v>0</v>
      </c>
      <c r="G167" s="301">
        <v>0</v>
      </c>
      <c r="H167" s="301">
        <v>0</v>
      </c>
      <c r="I167" s="301">
        <f t="shared" si="25"/>
        <v>0</v>
      </c>
      <c r="J167" s="301">
        <f t="shared" si="26"/>
        <v>8174.4643317710415</v>
      </c>
      <c r="K167" s="302"/>
    </row>
    <row r="168" spans="1:11" ht="12.75">
      <c r="A168" s="299"/>
      <c r="B168" s="300"/>
      <c r="C168" s="300" t="s">
        <v>86</v>
      </c>
      <c r="D168" s="301">
        <f>PRESUPUESTO!AB12</f>
        <v>2724.8214439236804</v>
      </c>
      <c r="E168" s="301">
        <v>0</v>
      </c>
      <c r="F168" s="301">
        <v>0</v>
      </c>
      <c r="G168" s="301">
        <v>0</v>
      </c>
      <c r="H168" s="301">
        <v>0</v>
      </c>
      <c r="I168" s="301">
        <f t="shared" si="25"/>
        <v>0</v>
      </c>
      <c r="J168" s="301">
        <f t="shared" si="26"/>
        <v>2724.8214439236804</v>
      </c>
      <c r="K168" s="302"/>
    </row>
    <row r="169" spans="1:11" ht="12.75">
      <c r="A169" s="299"/>
      <c r="B169" s="300"/>
      <c r="C169" s="300" t="s">
        <v>87</v>
      </c>
      <c r="D169" s="301">
        <f>PRESUPUESTO!AB13</f>
        <v>5449.6428878473607</v>
      </c>
      <c r="E169" s="301">
        <v>0</v>
      </c>
      <c r="F169" s="301">
        <v>0</v>
      </c>
      <c r="G169" s="301">
        <v>0</v>
      </c>
      <c r="H169" s="301">
        <v>0</v>
      </c>
      <c r="I169" s="301">
        <f t="shared" si="25"/>
        <v>0</v>
      </c>
      <c r="J169" s="301">
        <f t="shared" si="26"/>
        <v>5449.6428878473607</v>
      </c>
      <c r="K169" s="302"/>
    </row>
    <row r="170" spans="1:11" ht="12.75">
      <c r="A170" s="299"/>
      <c r="B170" s="300"/>
      <c r="C170" s="300" t="s">
        <v>88</v>
      </c>
      <c r="D170" s="301">
        <f>PRESUPUESTO!AB14</f>
        <v>5449.6428878473607</v>
      </c>
      <c r="E170" s="301">
        <v>0</v>
      </c>
      <c r="F170" s="301">
        <v>0</v>
      </c>
      <c r="G170" s="301">
        <v>0</v>
      </c>
      <c r="H170" s="301">
        <v>0</v>
      </c>
      <c r="I170" s="301">
        <f t="shared" si="25"/>
        <v>0</v>
      </c>
      <c r="J170" s="301">
        <f t="shared" si="26"/>
        <v>5449.6428878473607</v>
      </c>
      <c r="K170" s="302"/>
    </row>
    <row r="171" spans="1:11" ht="12.75">
      <c r="A171" s="299"/>
      <c r="B171" s="300"/>
      <c r="C171" s="300" t="s">
        <v>306</v>
      </c>
      <c r="D171" s="301">
        <f>PRESUPUESTO!AB15</f>
        <v>13624.107219618405</v>
      </c>
      <c r="E171" s="301">
        <v>0</v>
      </c>
      <c r="F171" s="301">
        <v>0</v>
      </c>
      <c r="G171" s="301">
        <v>0</v>
      </c>
      <c r="H171" s="301">
        <v>0</v>
      </c>
      <c r="I171" s="301">
        <f t="shared" si="25"/>
        <v>0</v>
      </c>
      <c r="J171" s="301">
        <f t="shared" si="26"/>
        <v>13624.107219618405</v>
      </c>
      <c r="K171" s="302"/>
    </row>
    <row r="172" spans="1:11" ht="12.75">
      <c r="A172" s="299"/>
      <c r="B172" s="300"/>
      <c r="C172" s="300" t="s">
        <v>307</v>
      </c>
      <c r="D172" s="301">
        <f>PRESUPUESTO!AB16</f>
        <v>22000</v>
      </c>
      <c r="E172" s="301"/>
      <c r="F172" s="301"/>
      <c r="G172" s="301"/>
      <c r="H172" s="301"/>
      <c r="I172" s="301"/>
      <c r="J172" s="301">
        <f t="shared" si="26"/>
        <v>22000</v>
      </c>
      <c r="K172" s="302"/>
    </row>
    <row r="173" spans="1:11" ht="14.25">
      <c r="A173" s="299">
        <v>44933</v>
      </c>
      <c r="B173" s="300" t="s">
        <v>353</v>
      </c>
      <c r="C173" s="300" t="s">
        <v>309</v>
      </c>
      <c r="D173" s="301">
        <f>PRESUPUESTO!AB17</f>
        <v>5994.6071766320974</v>
      </c>
      <c r="E173" s="301">
        <v>0</v>
      </c>
      <c r="F173" s="301">
        <v>0</v>
      </c>
      <c r="G173" s="308">
        <v>1131.1199999999999</v>
      </c>
      <c r="H173" s="301">
        <v>0</v>
      </c>
      <c r="I173" s="301">
        <f t="shared" ref="I173:I177" si="27">SUM(E173:H173)</f>
        <v>1131.1199999999999</v>
      </c>
      <c r="J173" s="301">
        <f t="shared" si="26"/>
        <v>4863.4871766320975</v>
      </c>
      <c r="K173" s="302"/>
    </row>
    <row r="174" spans="1:11" ht="12.75">
      <c r="A174" s="299">
        <v>44925</v>
      </c>
      <c r="B174" s="300"/>
      <c r="C174" s="300" t="s">
        <v>311</v>
      </c>
      <c r="D174" s="301">
        <f>PRESUPUESTO!AB18</f>
        <v>5994.6071766320974</v>
      </c>
      <c r="E174" s="301">
        <v>0</v>
      </c>
      <c r="F174" s="301">
        <f>951.09+2124.42</f>
        <v>3075.51</v>
      </c>
      <c r="G174" s="301">
        <v>0</v>
      </c>
      <c r="H174" s="301">
        <v>0</v>
      </c>
      <c r="I174" s="301">
        <f t="shared" si="27"/>
        <v>3075.51</v>
      </c>
      <c r="J174" s="301">
        <f t="shared" si="26"/>
        <v>2919.0971766320972</v>
      </c>
      <c r="K174" s="302"/>
    </row>
    <row r="175" spans="1:11" ht="12.75">
      <c r="A175" s="299">
        <v>44926</v>
      </c>
      <c r="B175" s="300"/>
      <c r="C175" s="300" t="s">
        <v>312</v>
      </c>
      <c r="D175" s="301">
        <f>PRESUPUESTO!AB19</f>
        <v>5994.6071766320974</v>
      </c>
      <c r="E175" s="301">
        <v>0</v>
      </c>
      <c r="F175" s="301">
        <f>323.22+52.93</f>
        <v>376.15000000000003</v>
      </c>
      <c r="G175" s="301">
        <v>0</v>
      </c>
      <c r="H175" s="301">
        <v>0</v>
      </c>
      <c r="I175" s="301">
        <f t="shared" si="27"/>
        <v>376.15000000000003</v>
      </c>
      <c r="J175" s="301">
        <f t="shared" si="26"/>
        <v>5618.4571766320978</v>
      </c>
      <c r="K175" s="302"/>
    </row>
    <row r="176" spans="1:11" ht="12.75">
      <c r="A176" s="299">
        <v>44926</v>
      </c>
      <c r="B176" s="300" t="s">
        <v>354</v>
      </c>
      <c r="C176" s="300" t="s">
        <v>96</v>
      </c>
      <c r="D176" s="301">
        <f>PRESUPUESTO!AB20</f>
        <v>13624.107219618405</v>
      </c>
      <c r="E176" s="301">
        <v>0</v>
      </c>
      <c r="F176" s="301">
        <v>0</v>
      </c>
      <c r="G176" s="301">
        <v>0</v>
      </c>
      <c r="H176" s="301">
        <v>0</v>
      </c>
      <c r="I176" s="301">
        <f t="shared" si="27"/>
        <v>0</v>
      </c>
      <c r="J176" s="301">
        <f t="shared" si="26"/>
        <v>13624.107219618405</v>
      </c>
      <c r="K176" s="302"/>
    </row>
    <row r="177" spans="1:11" ht="12.75">
      <c r="A177" s="299">
        <v>44950</v>
      </c>
      <c r="B177" s="300"/>
      <c r="C177" s="300" t="s">
        <v>99</v>
      </c>
      <c r="D177" s="301">
        <f>PRESUPUESTO!AB21</f>
        <v>13624.107219618405</v>
      </c>
      <c r="E177" s="301">
        <v>0</v>
      </c>
      <c r="F177" s="301">
        <f>1420.38+41.67+41.67+1420.38+194.08+1722.74+170.73+32.14</f>
        <v>5043.79</v>
      </c>
      <c r="G177" s="301">
        <v>0</v>
      </c>
      <c r="H177" s="301">
        <v>0</v>
      </c>
      <c r="I177" s="301">
        <f t="shared" si="27"/>
        <v>5043.79</v>
      </c>
      <c r="J177" s="301">
        <f t="shared" si="26"/>
        <v>8580.3172196184059</v>
      </c>
      <c r="K177" s="302"/>
    </row>
    <row r="178" spans="1:11" ht="12.75">
      <c r="A178" s="299">
        <v>44950</v>
      </c>
      <c r="B178" s="300"/>
      <c r="C178" s="300" t="s">
        <v>352</v>
      </c>
      <c r="D178" s="301"/>
      <c r="E178" s="301"/>
      <c r="F178" s="301"/>
      <c r="G178" s="301">
        <v>536</v>
      </c>
      <c r="H178" s="301"/>
      <c r="I178" s="301"/>
      <c r="J178" s="301">
        <f t="shared" si="26"/>
        <v>0</v>
      </c>
      <c r="K178" s="302"/>
    </row>
    <row r="179" spans="1:11" ht="12.75">
      <c r="A179" s="493" t="s">
        <v>28</v>
      </c>
      <c r="B179" s="456"/>
      <c r="C179" s="456"/>
      <c r="D179" s="456"/>
      <c r="E179" s="456"/>
      <c r="F179" s="456"/>
      <c r="G179" s="456"/>
      <c r="H179" s="456"/>
      <c r="I179" s="456"/>
      <c r="J179" s="456"/>
      <c r="K179" s="298"/>
    </row>
    <row r="180" spans="1:11" ht="12.75">
      <c r="A180" s="299"/>
      <c r="B180" s="300"/>
      <c r="C180" s="300" t="s">
        <v>71</v>
      </c>
      <c r="D180" s="301">
        <f>PRESUPUESTO!AE4</f>
        <v>125000</v>
      </c>
      <c r="E180" s="301">
        <v>98500</v>
      </c>
      <c r="F180" s="301">
        <v>0</v>
      </c>
      <c r="G180" s="301">
        <v>0</v>
      </c>
      <c r="H180" s="301">
        <v>0</v>
      </c>
      <c r="I180" s="301">
        <f t="shared" ref="I180:I191" si="28">SUM(E180:H180)</f>
        <v>98500</v>
      </c>
      <c r="J180" s="301">
        <f t="shared" ref="J180:J198" si="29">D180-I180</f>
        <v>26500</v>
      </c>
      <c r="K180" s="302"/>
    </row>
    <row r="181" spans="1:11" ht="12.75">
      <c r="A181" s="299">
        <v>44963</v>
      </c>
      <c r="B181" s="300">
        <v>253135</v>
      </c>
      <c r="C181" s="300" t="s">
        <v>73</v>
      </c>
      <c r="D181" s="301">
        <f>PRESUPUESTO!AE5</f>
        <v>28774.114447834061</v>
      </c>
      <c r="E181" s="301">
        <v>7911.73</v>
      </c>
      <c r="F181" s="301">
        <v>0</v>
      </c>
      <c r="G181" s="301">
        <v>0</v>
      </c>
      <c r="H181" s="301"/>
      <c r="I181" s="301">
        <f t="shared" si="28"/>
        <v>7911.73</v>
      </c>
      <c r="J181" s="301">
        <f t="shared" si="29"/>
        <v>20862.384447834062</v>
      </c>
      <c r="K181" s="302"/>
    </row>
    <row r="182" spans="1:11" ht="12.75">
      <c r="A182" s="299">
        <v>44972</v>
      </c>
      <c r="B182" s="300">
        <v>74674</v>
      </c>
      <c r="C182" s="300" t="s">
        <v>74</v>
      </c>
      <c r="D182" s="301">
        <f>PRESUPUESTO!AE6</f>
        <v>3328.205904466141</v>
      </c>
      <c r="E182" s="301">
        <v>0</v>
      </c>
      <c r="F182" s="301">
        <v>1916.27</v>
      </c>
      <c r="G182" s="301">
        <v>0</v>
      </c>
      <c r="H182" s="301"/>
      <c r="I182" s="301">
        <f t="shared" si="28"/>
        <v>1916.27</v>
      </c>
      <c r="J182" s="301">
        <f t="shared" si="29"/>
        <v>1411.935904466141</v>
      </c>
      <c r="K182" s="302"/>
    </row>
    <row r="183" spans="1:11" ht="12.75">
      <c r="A183" s="299">
        <v>44981</v>
      </c>
      <c r="B183" s="300"/>
      <c r="C183" s="300" t="s">
        <v>75</v>
      </c>
      <c r="D183" s="301">
        <f>PRESUPUESTO!AE7</f>
        <v>27500.000000000004</v>
      </c>
      <c r="E183" s="301">
        <v>0</v>
      </c>
      <c r="F183" s="301">
        <v>28535.73</v>
      </c>
      <c r="G183" s="301">
        <v>0</v>
      </c>
      <c r="H183" s="301"/>
      <c r="I183" s="301">
        <f t="shared" si="28"/>
        <v>28535.73</v>
      </c>
      <c r="J183" s="301">
        <f t="shared" si="29"/>
        <v>-1035.7299999999959</v>
      </c>
      <c r="K183" s="302"/>
    </row>
    <row r="184" spans="1:11" ht="12.75">
      <c r="A184" s="299">
        <v>44980</v>
      </c>
      <c r="B184" s="300"/>
      <c r="C184" s="300" t="s">
        <v>78</v>
      </c>
      <c r="D184" s="301">
        <f>PRESUPUESTO!AE8</f>
        <v>38964.946648108635</v>
      </c>
      <c r="E184" s="301">
        <v>10526.2</v>
      </c>
      <c r="F184" s="301">
        <v>0</v>
      </c>
      <c r="G184" s="301">
        <v>0</v>
      </c>
      <c r="H184" s="301"/>
      <c r="I184" s="301">
        <f t="shared" si="28"/>
        <v>10526.2</v>
      </c>
      <c r="J184" s="301">
        <f t="shared" si="29"/>
        <v>28438.746648108634</v>
      </c>
      <c r="K184" s="302"/>
    </row>
    <row r="185" spans="1:11" ht="12.75">
      <c r="A185" s="299">
        <v>44972</v>
      </c>
      <c r="B185" s="300">
        <v>74674</v>
      </c>
      <c r="C185" s="300" t="s">
        <v>304</v>
      </c>
      <c r="D185" s="301">
        <f>PRESUPUESTO!AE9</f>
        <v>29973.035883160494</v>
      </c>
      <c r="E185" s="301">
        <v>7308</v>
      </c>
      <c r="F185" s="301"/>
      <c r="G185" s="301">
        <v>0</v>
      </c>
      <c r="H185" s="301"/>
      <c r="I185" s="301">
        <f t="shared" si="28"/>
        <v>7308</v>
      </c>
      <c r="J185" s="301">
        <f t="shared" si="29"/>
        <v>22665.035883160494</v>
      </c>
      <c r="K185" s="302"/>
    </row>
    <row r="186" spans="1:11" ht="12.75">
      <c r="A186" s="299"/>
      <c r="B186" s="300"/>
      <c r="C186" s="300" t="s">
        <v>305</v>
      </c>
      <c r="D186" s="301">
        <f>PRESUPUESTO!AE10</f>
        <v>29973.035883160494</v>
      </c>
      <c r="E186" s="301">
        <v>0</v>
      </c>
      <c r="F186" s="301">
        <v>0</v>
      </c>
      <c r="G186" s="301">
        <v>0</v>
      </c>
      <c r="H186" s="301">
        <v>0</v>
      </c>
      <c r="I186" s="301">
        <f t="shared" si="28"/>
        <v>0</v>
      </c>
      <c r="J186" s="301">
        <f t="shared" si="29"/>
        <v>29973.035883160494</v>
      </c>
      <c r="K186" s="302"/>
    </row>
    <row r="187" spans="1:11" ht="12.75">
      <c r="A187" s="299"/>
      <c r="B187" s="300"/>
      <c r="C187" s="300" t="s">
        <v>84</v>
      </c>
      <c r="D187" s="301">
        <f>PRESUPUESTO!AE11</f>
        <v>8991.9107649481466</v>
      </c>
      <c r="E187" s="301">
        <v>0</v>
      </c>
      <c r="F187" s="301">
        <v>0</v>
      </c>
      <c r="G187" s="301">
        <v>0</v>
      </c>
      <c r="H187" s="301">
        <v>0</v>
      </c>
      <c r="I187" s="301">
        <f t="shared" si="28"/>
        <v>0</v>
      </c>
      <c r="J187" s="301">
        <f t="shared" si="29"/>
        <v>8991.9107649481466</v>
      </c>
      <c r="K187" s="302"/>
    </row>
    <row r="188" spans="1:11" ht="12.75">
      <c r="A188" s="299"/>
      <c r="B188" s="300"/>
      <c r="C188" s="300" t="s">
        <v>86</v>
      </c>
      <c r="D188" s="301">
        <f>PRESUPUESTO!AE12</f>
        <v>2997.3035883160487</v>
      </c>
      <c r="E188" s="301">
        <v>0</v>
      </c>
      <c r="F188" s="301">
        <v>0</v>
      </c>
      <c r="G188" s="301">
        <v>0</v>
      </c>
      <c r="H188" s="301">
        <v>0</v>
      </c>
      <c r="I188" s="301">
        <f t="shared" si="28"/>
        <v>0</v>
      </c>
      <c r="J188" s="301">
        <f t="shared" si="29"/>
        <v>2997.3035883160487</v>
      </c>
      <c r="K188" s="302"/>
    </row>
    <row r="189" spans="1:11" ht="12.75">
      <c r="A189" s="299"/>
      <c r="B189" s="300"/>
      <c r="C189" s="300" t="s">
        <v>87</v>
      </c>
      <c r="D189" s="301">
        <f>PRESUPUESTO!AE13</f>
        <v>5994.6071766320974</v>
      </c>
      <c r="E189" s="301">
        <v>0</v>
      </c>
      <c r="F189" s="301">
        <v>0</v>
      </c>
      <c r="G189" s="301">
        <v>0</v>
      </c>
      <c r="H189" s="301">
        <v>0</v>
      </c>
      <c r="I189" s="301">
        <f t="shared" si="28"/>
        <v>0</v>
      </c>
      <c r="J189" s="301">
        <f t="shared" si="29"/>
        <v>5994.6071766320974</v>
      </c>
      <c r="K189" s="302"/>
    </row>
    <row r="190" spans="1:11" ht="12.75">
      <c r="A190" s="299"/>
      <c r="B190" s="300"/>
      <c r="C190" s="300" t="s">
        <v>88</v>
      </c>
      <c r="D190" s="301">
        <f>PRESUPUESTO!AE14</f>
        <v>5994.6071766320974</v>
      </c>
      <c r="E190" s="301">
        <v>0</v>
      </c>
      <c r="F190" s="301">
        <v>0</v>
      </c>
      <c r="G190" s="301">
        <v>0</v>
      </c>
      <c r="H190" s="301">
        <v>0</v>
      </c>
      <c r="I190" s="301">
        <f t="shared" si="28"/>
        <v>0</v>
      </c>
      <c r="J190" s="301">
        <f t="shared" si="29"/>
        <v>5994.6071766320974</v>
      </c>
      <c r="K190" s="302"/>
    </row>
    <row r="191" spans="1:11" ht="12.75">
      <c r="A191" s="299"/>
      <c r="B191" s="300"/>
      <c r="C191" s="300" t="s">
        <v>306</v>
      </c>
      <c r="D191" s="301">
        <f>PRESUPUESTO!AE15</f>
        <v>14986.517941580247</v>
      </c>
      <c r="E191" s="301">
        <v>0</v>
      </c>
      <c r="F191" s="301">
        <v>0</v>
      </c>
      <c r="G191" s="301">
        <v>0</v>
      </c>
      <c r="H191" s="301">
        <v>0</v>
      </c>
      <c r="I191" s="301">
        <f t="shared" si="28"/>
        <v>0</v>
      </c>
      <c r="J191" s="301">
        <f t="shared" si="29"/>
        <v>14986.517941580247</v>
      </c>
      <c r="K191" s="302"/>
    </row>
    <row r="192" spans="1:11" ht="12.75">
      <c r="A192" s="299"/>
      <c r="B192" s="300"/>
      <c r="C192" s="300" t="s">
        <v>307</v>
      </c>
      <c r="D192" s="301">
        <f>PRESUPUESTO!AE16</f>
        <v>25000</v>
      </c>
      <c r="E192" s="301"/>
      <c r="F192" s="301"/>
      <c r="G192" s="301"/>
      <c r="H192" s="301"/>
      <c r="I192" s="301"/>
      <c r="J192" s="301">
        <f t="shared" si="29"/>
        <v>25000</v>
      </c>
      <c r="K192" s="302"/>
    </row>
    <row r="193" spans="1:11" ht="12.75">
      <c r="A193" s="299">
        <v>44957</v>
      </c>
      <c r="B193" s="300"/>
      <c r="C193" s="300" t="s">
        <v>309</v>
      </c>
      <c r="D193" s="301">
        <f>PRESUPUESTO!AE17</f>
        <v>6594.0678942953073</v>
      </c>
      <c r="E193" s="301">
        <v>0</v>
      </c>
      <c r="F193" s="301">
        <v>0</v>
      </c>
      <c r="G193" s="301">
        <v>1890.74</v>
      </c>
      <c r="H193" s="301">
        <v>0</v>
      </c>
      <c r="I193" s="301">
        <f t="shared" ref="I193:I197" si="30">SUM(E193:H193)</f>
        <v>1890.74</v>
      </c>
      <c r="J193" s="301">
        <f t="shared" si="29"/>
        <v>4703.3278942953075</v>
      </c>
      <c r="K193" s="302"/>
    </row>
    <row r="194" spans="1:11" ht="12.75">
      <c r="A194" s="299">
        <v>44957</v>
      </c>
      <c r="B194" s="300"/>
      <c r="C194" s="300" t="s">
        <v>311</v>
      </c>
      <c r="D194" s="301">
        <f>PRESUPUESTO!AE18</f>
        <v>6594.0678942953073</v>
      </c>
      <c r="E194" s="301">
        <v>0</v>
      </c>
      <c r="F194" s="301">
        <f>38.97+77.94+10.68+15.84+7.47+54.85+65.94+21.23+3.31+287.5+40.26+3.72+13.7+396.23+1886.82</f>
        <v>2924.46</v>
      </c>
      <c r="G194" s="301">
        <v>0</v>
      </c>
      <c r="H194" s="301">
        <v>0</v>
      </c>
      <c r="I194" s="301">
        <f t="shared" si="30"/>
        <v>2924.46</v>
      </c>
      <c r="J194" s="301">
        <f t="shared" si="29"/>
        <v>3669.6078942953072</v>
      </c>
      <c r="K194" s="302"/>
    </row>
    <row r="195" spans="1:11" ht="12.75">
      <c r="A195" s="299">
        <v>44957</v>
      </c>
      <c r="B195" s="300"/>
      <c r="C195" s="300" t="s">
        <v>312</v>
      </c>
      <c r="D195" s="301">
        <f>PRESUPUESTO!AE19</f>
        <v>6594.0678942953073</v>
      </c>
      <c r="E195" s="301">
        <v>0</v>
      </c>
      <c r="F195" s="301">
        <v>0</v>
      </c>
      <c r="G195" s="301">
        <v>0</v>
      </c>
      <c r="H195" s="301">
        <v>0</v>
      </c>
      <c r="I195" s="301">
        <f t="shared" si="30"/>
        <v>0</v>
      </c>
      <c r="J195" s="301">
        <f t="shared" si="29"/>
        <v>6594.0678942953073</v>
      </c>
      <c r="K195" s="302"/>
    </row>
    <row r="196" spans="1:11" ht="12.75">
      <c r="A196" s="299">
        <v>44957</v>
      </c>
      <c r="B196" s="300"/>
      <c r="C196" s="300" t="s">
        <v>96</v>
      </c>
      <c r="D196" s="301">
        <f>PRESUPUESTO!AE20</f>
        <v>14986.517941580247</v>
      </c>
      <c r="E196" s="301">
        <v>0</v>
      </c>
      <c r="F196" s="301">
        <v>0</v>
      </c>
      <c r="G196" s="301">
        <v>0</v>
      </c>
      <c r="H196" s="301">
        <v>0</v>
      </c>
      <c r="I196" s="301">
        <f t="shared" si="30"/>
        <v>0</v>
      </c>
      <c r="J196" s="301">
        <f t="shared" si="29"/>
        <v>14986.517941580247</v>
      </c>
      <c r="K196" s="302"/>
    </row>
    <row r="197" spans="1:11" ht="12.75">
      <c r="A197" s="299">
        <v>44957</v>
      </c>
      <c r="B197" s="300"/>
      <c r="C197" s="300" t="s">
        <v>99</v>
      </c>
      <c r="D197" s="301">
        <f>PRESUPUESTO!AE21</f>
        <v>14986.517941580247</v>
      </c>
      <c r="E197" s="301">
        <v>0</v>
      </c>
      <c r="F197" s="301">
        <f>207.76+4127.41+564.28+201.08+3034.08</f>
        <v>8134.61</v>
      </c>
      <c r="G197" s="301">
        <v>0</v>
      </c>
      <c r="H197" s="301">
        <v>0</v>
      </c>
      <c r="I197" s="301">
        <f t="shared" si="30"/>
        <v>8134.61</v>
      </c>
      <c r="J197" s="301">
        <f t="shared" si="29"/>
        <v>6851.9079415802471</v>
      </c>
      <c r="K197" s="302"/>
    </row>
    <row r="198" spans="1:11" ht="12.75">
      <c r="A198" s="299">
        <v>44981</v>
      </c>
      <c r="B198" s="300"/>
      <c r="C198" s="300" t="s">
        <v>352</v>
      </c>
      <c r="D198" s="301"/>
      <c r="E198" s="301"/>
      <c r="F198" s="301"/>
      <c r="G198" s="301">
        <v>595</v>
      </c>
      <c r="H198" s="301"/>
      <c r="I198" s="301"/>
      <c r="J198" s="301">
        <f t="shared" si="29"/>
        <v>0</v>
      </c>
      <c r="K198" s="302"/>
    </row>
    <row r="199" spans="1:11" ht="12.75">
      <c r="A199" s="493" t="s">
        <v>29</v>
      </c>
      <c r="B199" s="456"/>
      <c r="C199" s="456"/>
      <c r="D199" s="456"/>
      <c r="E199" s="456"/>
      <c r="F199" s="456"/>
      <c r="G199" s="456"/>
      <c r="H199" s="456"/>
      <c r="I199" s="456"/>
      <c r="J199" s="456"/>
      <c r="K199" s="298"/>
    </row>
    <row r="200" spans="1:11" ht="12.75">
      <c r="A200" s="299">
        <v>44995</v>
      </c>
      <c r="B200" s="300">
        <v>27911911</v>
      </c>
      <c r="C200" s="300" t="s">
        <v>71</v>
      </c>
      <c r="D200" s="301">
        <f>PRESUPUESTO!AH4</f>
        <v>125000</v>
      </c>
      <c r="E200" s="301">
        <v>98500</v>
      </c>
      <c r="F200" s="301">
        <v>0</v>
      </c>
      <c r="G200" s="301">
        <v>0</v>
      </c>
      <c r="H200" s="301"/>
      <c r="I200" s="301">
        <f t="shared" ref="I200:I211" si="31">SUM(E200:H200)</f>
        <v>98500</v>
      </c>
      <c r="J200" s="301">
        <f t="shared" ref="J200:J218" si="32">D200-I200</f>
        <v>26500</v>
      </c>
      <c r="K200" s="302"/>
    </row>
    <row r="201" spans="1:11" ht="12.75">
      <c r="A201" s="299">
        <v>44991</v>
      </c>
      <c r="B201" s="300"/>
      <c r="C201" s="300" t="s">
        <v>73</v>
      </c>
      <c r="D201" s="301">
        <f>PRESUPUESTO!AH5</f>
        <v>31651.525892617468</v>
      </c>
      <c r="E201" s="301">
        <v>9850.11</v>
      </c>
      <c r="F201" s="301">
        <v>0</v>
      </c>
      <c r="G201" s="301">
        <v>0</v>
      </c>
      <c r="H201" s="301"/>
      <c r="I201" s="301">
        <f t="shared" si="31"/>
        <v>9850.11</v>
      </c>
      <c r="J201" s="301">
        <f t="shared" si="32"/>
        <v>21801.415892617468</v>
      </c>
      <c r="K201" s="302"/>
    </row>
    <row r="202" spans="1:11" ht="12.75">
      <c r="A202" s="299">
        <v>44999</v>
      </c>
      <c r="B202" s="300"/>
      <c r="C202" s="300" t="s">
        <v>74</v>
      </c>
      <c r="D202" s="301">
        <f>PRESUPUESTO!AH6</f>
        <v>3661.0264949127554</v>
      </c>
      <c r="E202" s="301">
        <v>1916.27</v>
      </c>
      <c r="F202" s="301">
        <v>0</v>
      </c>
      <c r="G202" s="301">
        <v>0</v>
      </c>
      <c r="H202" s="301"/>
      <c r="I202" s="301">
        <f t="shared" si="31"/>
        <v>1916.27</v>
      </c>
      <c r="J202" s="301">
        <f t="shared" si="32"/>
        <v>1744.7564949127554</v>
      </c>
      <c r="K202" s="302"/>
    </row>
    <row r="203" spans="1:11" ht="12.75">
      <c r="A203" s="299">
        <v>45012</v>
      </c>
      <c r="B203" s="300"/>
      <c r="C203" s="300" t="s">
        <v>75</v>
      </c>
      <c r="D203" s="301">
        <f>PRESUPUESTO!AH7</f>
        <v>30250.000000000007</v>
      </c>
      <c r="E203" s="301">
        <v>472.2</v>
      </c>
      <c r="F203" s="301">
        <v>28400</v>
      </c>
      <c r="G203" s="301">
        <v>0</v>
      </c>
      <c r="H203" s="301"/>
      <c r="I203" s="301">
        <f t="shared" si="31"/>
        <v>28872.2</v>
      </c>
      <c r="J203" s="301">
        <f t="shared" si="32"/>
        <v>1377.8000000000065</v>
      </c>
      <c r="K203" s="302"/>
    </row>
    <row r="204" spans="1:11" ht="12.75">
      <c r="A204" s="299"/>
      <c r="B204" s="300"/>
      <c r="C204" s="300" t="s">
        <v>78</v>
      </c>
      <c r="D204" s="301">
        <f>PRESUPUESTO!AH8</f>
        <v>42861.441312919502</v>
      </c>
      <c r="E204" s="301"/>
      <c r="F204" s="301">
        <v>0</v>
      </c>
      <c r="G204" s="301">
        <v>0</v>
      </c>
      <c r="H204" s="301"/>
      <c r="I204" s="301">
        <f t="shared" si="31"/>
        <v>0</v>
      </c>
      <c r="J204" s="301">
        <f t="shared" si="32"/>
        <v>42861.441312919502</v>
      </c>
      <c r="K204" s="302"/>
    </row>
    <row r="205" spans="1:11" ht="12.75">
      <c r="A205" s="299">
        <v>44999</v>
      </c>
      <c r="B205" s="300"/>
      <c r="C205" s="300" t="s">
        <v>304</v>
      </c>
      <c r="D205" s="301">
        <f>PRESUPUESTO!AH9</f>
        <v>32970.339471476545</v>
      </c>
      <c r="E205" s="301">
        <v>7828</v>
      </c>
      <c r="F205" s="301">
        <v>0</v>
      </c>
      <c r="G205" s="301">
        <v>0</v>
      </c>
      <c r="H205" s="301"/>
      <c r="I205" s="301">
        <f t="shared" si="31"/>
        <v>7828</v>
      </c>
      <c r="J205" s="301">
        <f t="shared" si="32"/>
        <v>25142.339471476545</v>
      </c>
      <c r="K205" s="302"/>
    </row>
    <row r="206" spans="1:11" ht="12.75">
      <c r="A206" s="299"/>
      <c r="B206" s="300"/>
      <c r="C206" s="300" t="s">
        <v>305</v>
      </c>
      <c r="D206" s="301">
        <f>PRESUPUESTO!AH10</f>
        <v>32970.339471476545</v>
      </c>
      <c r="E206" s="301">
        <v>0</v>
      </c>
      <c r="F206" s="301">
        <v>0</v>
      </c>
      <c r="G206" s="301">
        <v>0</v>
      </c>
      <c r="H206" s="301">
        <v>0</v>
      </c>
      <c r="I206" s="301">
        <f t="shared" si="31"/>
        <v>0</v>
      </c>
      <c r="J206" s="301">
        <f t="shared" si="32"/>
        <v>32970.339471476545</v>
      </c>
      <c r="K206" s="302"/>
    </row>
    <row r="207" spans="1:11" ht="12.75">
      <c r="A207" s="299">
        <v>44991</v>
      </c>
      <c r="B207" s="300"/>
      <c r="C207" s="300" t="s">
        <v>84</v>
      </c>
      <c r="D207" s="301">
        <f>PRESUPUESTO!AH11</f>
        <v>9891.1018414429618</v>
      </c>
      <c r="E207" s="301">
        <v>1800</v>
      </c>
      <c r="F207" s="301">
        <v>0</v>
      </c>
      <c r="G207" s="301">
        <v>0</v>
      </c>
      <c r="H207" s="301">
        <v>0</v>
      </c>
      <c r="I207" s="301">
        <f t="shared" si="31"/>
        <v>1800</v>
      </c>
      <c r="J207" s="301">
        <f t="shared" si="32"/>
        <v>8091.1018414429618</v>
      </c>
      <c r="K207" s="302"/>
    </row>
    <row r="208" spans="1:11" ht="12.75">
      <c r="A208" s="299"/>
      <c r="B208" s="300"/>
      <c r="C208" s="300" t="s">
        <v>86</v>
      </c>
      <c r="D208" s="301">
        <f>PRESUPUESTO!AH12</f>
        <v>3297.0339471476536</v>
      </c>
      <c r="E208" s="301">
        <v>0</v>
      </c>
      <c r="F208" s="301">
        <v>0</v>
      </c>
      <c r="G208" s="301">
        <v>0</v>
      </c>
      <c r="H208" s="301">
        <v>0</v>
      </c>
      <c r="I208" s="301">
        <f t="shared" si="31"/>
        <v>0</v>
      </c>
      <c r="J208" s="301">
        <f t="shared" si="32"/>
        <v>3297.0339471476536</v>
      </c>
      <c r="K208" s="302"/>
    </row>
    <row r="209" spans="1:11" ht="12.75">
      <c r="A209" s="299"/>
      <c r="B209" s="300"/>
      <c r="C209" s="300" t="s">
        <v>87</v>
      </c>
      <c r="D209" s="301">
        <f>PRESUPUESTO!AH13</f>
        <v>6594.0678942953073</v>
      </c>
      <c r="E209" s="301">
        <v>0</v>
      </c>
      <c r="F209" s="301">
        <v>0</v>
      </c>
      <c r="G209" s="301">
        <v>0</v>
      </c>
      <c r="H209" s="301">
        <v>0</v>
      </c>
      <c r="I209" s="301">
        <f t="shared" si="31"/>
        <v>0</v>
      </c>
      <c r="J209" s="301">
        <f t="shared" si="32"/>
        <v>6594.0678942953073</v>
      </c>
      <c r="K209" s="302"/>
    </row>
    <row r="210" spans="1:11" ht="12.75">
      <c r="A210" s="299"/>
      <c r="B210" s="300"/>
      <c r="C210" s="300" t="s">
        <v>88</v>
      </c>
      <c r="D210" s="301">
        <f>PRESUPUESTO!AH14</f>
        <v>6594.0678942953073</v>
      </c>
      <c r="E210" s="301">
        <v>0</v>
      </c>
      <c r="F210" s="301">
        <v>0</v>
      </c>
      <c r="G210" s="301">
        <v>0</v>
      </c>
      <c r="H210" s="301">
        <v>0</v>
      </c>
      <c r="I210" s="301">
        <f t="shared" si="31"/>
        <v>0</v>
      </c>
      <c r="J210" s="301">
        <f t="shared" si="32"/>
        <v>6594.0678942953073</v>
      </c>
      <c r="K210" s="302"/>
    </row>
    <row r="211" spans="1:11" ht="12.75">
      <c r="A211" s="299"/>
      <c r="B211" s="300"/>
      <c r="C211" s="300" t="s">
        <v>306</v>
      </c>
      <c r="D211" s="301">
        <f>PRESUPUESTO!AH15</f>
        <v>16485.169735738273</v>
      </c>
      <c r="E211" s="301">
        <v>0</v>
      </c>
      <c r="F211" s="301">
        <v>0</v>
      </c>
      <c r="G211" s="301">
        <v>0</v>
      </c>
      <c r="H211" s="301">
        <v>0</v>
      </c>
      <c r="I211" s="301">
        <f t="shared" si="31"/>
        <v>0</v>
      </c>
      <c r="J211" s="301">
        <f t="shared" si="32"/>
        <v>16485.169735738273</v>
      </c>
      <c r="K211" s="302"/>
    </row>
    <row r="212" spans="1:11" ht="12.75">
      <c r="A212" s="299"/>
      <c r="B212" s="300"/>
      <c r="C212" s="300" t="s">
        <v>307</v>
      </c>
      <c r="D212" s="301">
        <f>PRESUPUESTO!AH16</f>
        <v>25000</v>
      </c>
      <c r="E212" s="301"/>
      <c r="F212" s="301"/>
      <c r="G212" s="301"/>
      <c r="H212" s="301"/>
      <c r="I212" s="301"/>
      <c r="J212" s="301">
        <f t="shared" si="32"/>
        <v>25000</v>
      </c>
      <c r="K212" s="302"/>
    </row>
    <row r="213" spans="1:11" ht="12.75">
      <c r="A213" s="299">
        <v>44985</v>
      </c>
      <c r="B213" s="300"/>
      <c r="C213" s="300" t="s">
        <v>309</v>
      </c>
      <c r="D213" s="301">
        <f>PRESUPUESTO!AH17</f>
        <v>7253.4746837248385</v>
      </c>
      <c r="E213" s="301">
        <v>0</v>
      </c>
      <c r="F213" s="301">
        <v>0</v>
      </c>
      <c r="G213" s="301">
        <v>1630.68</v>
      </c>
      <c r="H213" s="301">
        <v>0</v>
      </c>
      <c r="I213" s="301">
        <f t="shared" ref="I213:I217" si="33">SUM(E213:H213)</f>
        <v>1630.68</v>
      </c>
      <c r="J213" s="301">
        <f t="shared" si="32"/>
        <v>5622.7946837248383</v>
      </c>
      <c r="K213" s="302"/>
    </row>
    <row r="214" spans="1:11" ht="12.75">
      <c r="A214" s="299">
        <v>44985</v>
      </c>
      <c r="B214" s="300"/>
      <c r="C214" s="300" t="s">
        <v>311</v>
      </c>
      <c r="D214" s="301">
        <f>PRESUPUESTO!AH18</f>
        <v>7253.4746837248385</v>
      </c>
      <c r="E214" s="301">
        <v>0</v>
      </c>
      <c r="F214" s="301">
        <v>2861.56</v>
      </c>
      <c r="G214" s="301">
        <v>0</v>
      </c>
      <c r="H214" s="301">
        <v>0</v>
      </c>
      <c r="I214" s="301">
        <f t="shared" si="33"/>
        <v>2861.56</v>
      </c>
      <c r="J214" s="301">
        <f t="shared" si="32"/>
        <v>4391.9146837248391</v>
      </c>
      <c r="K214" s="302"/>
    </row>
    <row r="215" spans="1:11" ht="12.75">
      <c r="A215" s="299">
        <v>44985</v>
      </c>
      <c r="B215" s="300"/>
      <c r="C215" s="300" t="s">
        <v>312</v>
      </c>
      <c r="D215" s="301">
        <f>PRESUPUESTO!AH19</f>
        <v>7253.4746837248385</v>
      </c>
      <c r="E215" s="301">
        <v>0</v>
      </c>
      <c r="F215" s="301">
        <v>0</v>
      </c>
      <c r="G215" s="301">
        <v>0</v>
      </c>
      <c r="H215" s="301">
        <v>0</v>
      </c>
      <c r="I215" s="301">
        <f t="shared" si="33"/>
        <v>0</v>
      </c>
      <c r="J215" s="301">
        <f t="shared" si="32"/>
        <v>7253.4746837248385</v>
      </c>
      <c r="K215" s="302"/>
    </row>
    <row r="216" spans="1:11" ht="12.75">
      <c r="A216" s="299">
        <v>44985</v>
      </c>
      <c r="B216" s="300"/>
      <c r="C216" s="300" t="s">
        <v>96</v>
      </c>
      <c r="D216" s="301">
        <f>PRESUPUESTO!AH20</f>
        <v>16485.169735738273</v>
      </c>
      <c r="E216" s="301">
        <v>0</v>
      </c>
      <c r="F216" s="301">
        <v>0</v>
      </c>
      <c r="G216" s="301">
        <v>0</v>
      </c>
      <c r="H216" s="301">
        <v>0</v>
      </c>
      <c r="I216" s="301">
        <f t="shared" si="33"/>
        <v>0</v>
      </c>
      <c r="J216" s="301">
        <f t="shared" si="32"/>
        <v>16485.169735738273</v>
      </c>
      <c r="K216" s="302"/>
    </row>
    <row r="217" spans="1:11" ht="12.75">
      <c r="A217" s="299">
        <v>44985</v>
      </c>
      <c r="B217" s="300"/>
      <c r="C217" s="300" t="s">
        <v>99</v>
      </c>
      <c r="D217" s="301">
        <f>PRESUPUESTO!AH21</f>
        <v>16485.169735738273</v>
      </c>
      <c r="E217" s="301">
        <v>0</v>
      </c>
      <c r="F217" s="301">
        <f>50.47+298.27+122.48+1579.56</f>
        <v>2050.7799999999997</v>
      </c>
      <c r="G217" s="301">
        <v>0</v>
      </c>
      <c r="H217" s="301">
        <v>0</v>
      </c>
      <c r="I217" s="301">
        <f t="shared" si="33"/>
        <v>2050.7799999999997</v>
      </c>
      <c r="J217" s="301">
        <f t="shared" si="32"/>
        <v>14434.389735738274</v>
      </c>
      <c r="K217" s="302"/>
    </row>
    <row r="218" spans="1:11" ht="12.75">
      <c r="A218" s="299">
        <v>45009</v>
      </c>
      <c r="B218" s="300"/>
      <c r="C218" s="300" t="s">
        <v>352</v>
      </c>
      <c r="D218" s="301"/>
      <c r="E218" s="301"/>
      <c r="F218" s="301"/>
      <c r="G218" s="301">
        <v>805</v>
      </c>
      <c r="H218" s="301"/>
      <c r="I218" s="301"/>
      <c r="J218" s="301">
        <f t="shared" si="32"/>
        <v>0</v>
      </c>
      <c r="K218" s="302"/>
    </row>
    <row r="219" spans="1:11" ht="12.75">
      <c r="A219" s="493" t="s">
        <v>30</v>
      </c>
      <c r="B219" s="456"/>
      <c r="C219" s="456"/>
      <c r="D219" s="456"/>
      <c r="E219" s="456"/>
      <c r="F219" s="456"/>
      <c r="G219" s="456"/>
      <c r="H219" s="456"/>
      <c r="I219" s="456"/>
      <c r="J219" s="456"/>
      <c r="K219" s="298"/>
    </row>
    <row r="220" spans="1:11" ht="12.75">
      <c r="A220" s="299"/>
      <c r="B220" s="300"/>
      <c r="C220" s="300" t="s">
        <v>71</v>
      </c>
      <c r="D220" s="301">
        <f>PRESUPUESTO!AK4</f>
        <v>125000</v>
      </c>
      <c r="E220" s="301">
        <v>0</v>
      </c>
      <c r="F220" s="301">
        <v>0</v>
      </c>
      <c r="G220" s="301">
        <v>0</v>
      </c>
      <c r="H220" s="301">
        <v>0</v>
      </c>
      <c r="I220" s="301">
        <f t="shared" ref="I220:I231" si="34">SUM(E220:H220)</f>
        <v>0</v>
      </c>
      <c r="J220" s="301">
        <f t="shared" ref="J220:J237" si="35">D220-I220</f>
        <v>125000</v>
      </c>
      <c r="K220" s="302"/>
    </row>
    <row r="221" spans="1:11" ht="12.75">
      <c r="A221" s="299"/>
      <c r="B221" s="300"/>
      <c r="C221" s="300" t="s">
        <v>73</v>
      </c>
      <c r="D221" s="301">
        <f>PRESUPUESTO!AK5</f>
        <v>34816.678481879215</v>
      </c>
      <c r="E221" s="301">
        <v>0</v>
      </c>
      <c r="F221" s="301">
        <v>0</v>
      </c>
      <c r="G221" s="301">
        <v>0</v>
      </c>
      <c r="H221" s="301">
        <v>0</v>
      </c>
      <c r="I221" s="301">
        <f t="shared" si="34"/>
        <v>0</v>
      </c>
      <c r="J221" s="301">
        <f t="shared" si="35"/>
        <v>34816.678481879215</v>
      </c>
      <c r="K221" s="302"/>
    </row>
    <row r="222" spans="1:11" ht="12.75">
      <c r="A222" s="299"/>
      <c r="B222" s="300"/>
      <c r="C222" s="300" t="s">
        <v>74</v>
      </c>
      <c r="D222" s="301">
        <f>PRESUPUESTO!AK6</f>
        <v>4027.1291444040312</v>
      </c>
      <c r="E222" s="301">
        <v>0</v>
      </c>
      <c r="F222" s="301">
        <v>0</v>
      </c>
      <c r="G222" s="301">
        <v>0</v>
      </c>
      <c r="H222" s="301">
        <v>0</v>
      </c>
      <c r="I222" s="301">
        <f t="shared" si="34"/>
        <v>0</v>
      </c>
      <c r="J222" s="301">
        <f t="shared" si="35"/>
        <v>4027.1291444040312</v>
      </c>
      <c r="K222" s="302"/>
    </row>
    <row r="223" spans="1:11" ht="12.75">
      <c r="A223" s="299"/>
      <c r="B223" s="300"/>
      <c r="C223" s="300" t="s">
        <v>75</v>
      </c>
      <c r="D223" s="301">
        <f>PRESUPUESTO!AK7</f>
        <v>33275.000000000007</v>
      </c>
      <c r="E223" s="301"/>
      <c r="F223" s="301">
        <v>0</v>
      </c>
      <c r="G223" s="301">
        <v>0</v>
      </c>
      <c r="H223" s="301">
        <v>0</v>
      </c>
      <c r="I223" s="301">
        <f t="shared" si="34"/>
        <v>0</v>
      </c>
      <c r="J223" s="301">
        <f t="shared" si="35"/>
        <v>33275.000000000007</v>
      </c>
      <c r="K223" s="302"/>
    </row>
    <row r="224" spans="1:11" ht="12.75">
      <c r="A224" s="299"/>
      <c r="B224" s="300"/>
      <c r="C224" s="300" t="s">
        <v>78</v>
      </c>
      <c r="D224" s="301">
        <f>PRESUPUESTO!AK8</f>
        <v>47147.585444211458</v>
      </c>
      <c r="E224" s="301">
        <v>0</v>
      </c>
      <c r="F224" s="301">
        <v>0</v>
      </c>
      <c r="G224" s="301">
        <v>0</v>
      </c>
      <c r="H224" s="301">
        <v>0</v>
      </c>
      <c r="I224" s="301">
        <f t="shared" si="34"/>
        <v>0</v>
      </c>
      <c r="J224" s="301">
        <f t="shared" si="35"/>
        <v>47147.585444211458</v>
      </c>
      <c r="K224" s="302"/>
    </row>
    <row r="225" spans="1:11" ht="12.75">
      <c r="A225" s="299"/>
      <c r="B225" s="300"/>
      <c r="C225" s="300" t="s">
        <v>304</v>
      </c>
      <c r="D225" s="301">
        <f>PRESUPUESTO!AK9</f>
        <v>36267.3734186242</v>
      </c>
      <c r="E225" s="301">
        <v>0</v>
      </c>
      <c r="F225" s="301">
        <v>0</v>
      </c>
      <c r="G225" s="301">
        <v>0</v>
      </c>
      <c r="H225" s="301">
        <v>0</v>
      </c>
      <c r="I225" s="301">
        <f t="shared" si="34"/>
        <v>0</v>
      </c>
      <c r="J225" s="301">
        <f t="shared" si="35"/>
        <v>36267.3734186242</v>
      </c>
      <c r="K225" s="302"/>
    </row>
    <row r="226" spans="1:11" ht="12.75">
      <c r="A226" s="299"/>
      <c r="B226" s="300"/>
      <c r="C226" s="300" t="s">
        <v>305</v>
      </c>
      <c r="D226" s="301">
        <f>PRESUPUESTO!AK10</f>
        <v>36267.3734186242</v>
      </c>
      <c r="E226" s="301"/>
      <c r="F226" s="301">
        <v>0</v>
      </c>
      <c r="G226" s="301">
        <v>0</v>
      </c>
      <c r="H226" s="301">
        <v>0</v>
      </c>
      <c r="I226" s="301">
        <f t="shared" si="34"/>
        <v>0</v>
      </c>
      <c r="J226" s="301">
        <f t="shared" si="35"/>
        <v>36267.3734186242</v>
      </c>
      <c r="K226" s="302"/>
    </row>
    <row r="227" spans="1:11" ht="12.75">
      <c r="A227" s="299"/>
      <c r="B227" s="300"/>
      <c r="C227" s="300" t="s">
        <v>84</v>
      </c>
      <c r="D227" s="301">
        <f>PRESUPUESTO!AK11</f>
        <v>10880.21202558726</v>
      </c>
      <c r="E227" s="301">
        <v>0</v>
      </c>
      <c r="F227" s="301">
        <v>0</v>
      </c>
      <c r="G227" s="301">
        <v>0</v>
      </c>
      <c r="H227" s="301">
        <v>0</v>
      </c>
      <c r="I227" s="301">
        <f t="shared" si="34"/>
        <v>0</v>
      </c>
      <c r="J227" s="301">
        <f t="shared" si="35"/>
        <v>10880.21202558726</v>
      </c>
      <c r="K227" s="302"/>
    </row>
    <row r="228" spans="1:11" ht="12.75">
      <c r="A228" s="299"/>
      <c r="B228" s="300"/>
      <c r="C228" s="300" t="s">
        <v>86</v>
      </c>
      <c r="D228" s="301">
        <f>PRESUPUESTO!AK12</f>
        <v>3626.7373418624193</v>
      </c>
      <c r="E228" s="301">
        <v>0</v>
      </c>
      <c r="F228" s="301">
        <v>0</v>
      </c>
      <c r="G228" s="301">
        <v>0</v>
      </c>
      <c r="H228" s="301">
        <v>0</v>
      </c>
      <c r="I228" s="301">
        <f t="shared" si="34"/>
        <v>0</v>
      </c>
      <c r="J228" s="301">
        <f t="shared" si="35"/>
        <v>3626.7373418624193</v>
      </c>
      <c r="K228" s="302"/>
    </row>
    <row r="229" spans="1:11" ht="12.75">
      <c r="A229" s="299"/>
      <c r="B229" s="300"/>
      <c r="C229" s="300" t="s">
        <v>87</v>
      </c>
      <c r="D229" s="301">
        <f>PRESUPUESTO!AK13</f>
        <v>7253.4746837248385</v>
      </c>
      <c r="E229" s="301">
        <v>0</v>
      </c>
      <c r="F229" s="301">
        <v>0</v>
      </c>
      <c r="G229" s="301">
        <v>0</v>
      </c>
      <c r="H229" s="301">
        <v>0</v>
      </c>
      <c r="I229" s="301">
        <f t="shared" si="34"/>
        <v>0</v>
      </c>
      <c r="J229" s="301">
        <f t="shared" si="35"/>
        <v>7253.4746837248385</v>
      </c>
      <c r="K229" s="302"/>
    </row>
    <row r="230" spans="1:11" ht="12.75">
      <c r="A230" s="299"/>
      <c r="B230" s="300"/>
      <c r="C230" s="300" t="s">
        <v>88</v>
      </c>
      <c r="D230" s="301">
        <f>PRESUPUESTO!AK14</f>
        <v>7253.4746837248385</v>
      </c>
      <c r="E230" s="301">
        <v>0</v>
      </c>
      <c r="F230" s="301">
        <v>0</v>
      </c>
      <c r="G230" s="301">
        <v>0</v>
      </c>
      <c r="H230" s="301">
        <v>0</v>
      </c>
      <c r="I230" s="301">
        <f t="shared" si="34"/>
        <v>0</v>
      </c>
      <c r="J230" s="301">
        <f t="shared" si="35"/>
        <v>7253.4746837248385</v>
      </c>
      <c r="K230" s="302"/>
    </row>
    <row r="231" spans="1:11" ht="12.75">
      <c r="A231" s="299"/>
      <c r="B231" s="300"/>
      <c r="C231" s="300" t="s">
        <v>306</v>
      </c>
      <c r="D231" s="301">
        <f>PRESUPUESTO!AK15</f>
        <v>18133.6867093121</v>
      </c>
      <c r="E231" s="301">
        <v>0</v>
      </c>
      <c r="F231" s="301">
        <v>0</v>
      </c>
      <c r="G231" s="301">
        <v>0</v>
      </c>
      <c r="H231" s="301">
        <v>0</v>
      </c>
      <c r="I231" s="301">
        <f t="shared" si="34"/>
        <v>0</v>
      </c>
      <c r="J231" s="301">
        <f t="shared" si="35"/>
        <v>18133.6867093121</v>
      </c>
      <c r="K231" s="302"/>
    </row>
    <row r="232" spans="1:11" ht="12.75">
      <c r="A232" s="299"/>
      <c r="B232" s="300"/>
      <c r="C232" s="300" t="s">
        <v>307</v>
      </c>
      <c r="D232" s="301">
        <f>PRESUPUESTO!AK16</f>
        <v>25000</v>
      </c>
      <c r="E232" s="301"/>
      <c r="F232" s="301"/>
      <c r="G232" s="301"/>
      <c r="H232" s="301"/>
      <c r="I232" s="301"/>
      <c r="J232" s="301">
        <f t="shared" si="35"/>
        <v>25000</v>
      </c>
      <c r="K232" s="302"/>
    </row>
    <row r="233" spans="1:11" ht="12.75">
      <c r="A233" s="299"/>
      <c r="B233" s="300"/>
      <c r="C233" s="300" t="s">
        <v>309</v>
      </c>
      <c r="D233" s="301">
        <f>PRESUPUESTO!AK17</f>
        <v>7978.8221520973229</v>
      </c>
      <c r="E233" s="301">
        <v>0</v>
      </c>
      <c r="F233" s="301">
        <v>0</v>
      </c>
      <c r="G233" s="301"/>
      <c r="H233" s="301">
        <v>0</v>
      </c>
      <c r="I233" s="301">
        <f t="shared" ref="I233:I237" si="36">SUM(E233:H233)</f>
        <v>0</v>
      </c>
      <c r="J233" s="301">
        <f t="shared" si="35"/>
        <v>7978.8221520973229</v>
      </c>
      <c r="K233" s="302"/>
    </row>
    <row r="234" spans="1:11" ht="12.75">
      <c r="A234" s="299"/>
      <c r="B234" s="300"/>
      <c r="C234" s="300" t="s">
        <v>311</v>
      </c>
      <c r="D234" s="301">
        <f>PRESUPUESTO!AK18</f>
        <v>7978.8221520973229</v>
      </c>
      <c r="E234" s="301">
        <v>0</v>
      </c>
      <c r="F234" s="301">
        <v>0</v>
      </c>
      <c r="G234" s="301">
        <v>0</v>
      </c>
      <c r="H234" s="301">
        <v>0</v>
      </c>
      <c r="I234" s="301">
        <f t="shared" si="36"/>
        <v>0</v>
      </c>
      <c r="J234" s="301">
        <f t="shared" si="35"/>
        <v>7978.8221520973229</v>
      </c>
      <c r="K234" s="302"/>
    </row>
    <row r="235" spans="1:11" ht="12.75">
      <c r="A235" s="299"/>
      <c r="B235" s="300"/>
      <c r="C235" s="300" t="s">
        <v>312</v>
      </c>
      <c r="D235" s="301">
        <f>PRESUPUESTO!AK19</f>
        <v>7978.8221520973229</v>
      </c>
      <c r="E235" s="301">
        <v>0</v>
      </c>
      <c r="F235" s="301">
        <v>0</v>
      </c>
      <c r="G235" s="301">
        <v>0</v>
      </c>
      <c r="H235" s="301">
        <v>0</v>
      </c>
      <c r="I235" s="301">
        <f t="shared" si="36"/>
        <v>0</v>
      </c>
      <c r="J235" s="301">
        <f t="shared" si="35"/>
        <v>7978.8221520973229</v>
      </c>
      <c r="K235" s="302"/>
    </row>
    <row r="236" spans="1:11" ht="12.75">
      <c r="A236" s="299"/>
      <c r="B236" s="300"/>
      <c r="C236" s="300" t="s">
        <v>96</v>
      </c>
      <c r="D236" s="301">
        <f>PRESUPUESTO!AK20</f>
        <v>18133.6867093121</v>
      </c>
      <c r="E236" s="301">
        <v>0</v>
      </c>
      <c r="F236" s="301">
        <v>0</v>
      </c>
      <c r="G236" s="301">
        <v>0</v>
      </c>
      <c r="H236" s="301">
        <v>0</v>
      </c>
      <c r="I236" s="301">
        <f t="shared" si="36"/>
        <v>0</v>
      </c>
      <c r="J236" s="301">
        <f t="shared" si="35"/>
        <v>18133.6867093121</v>
      </c>
      <c r="K236" s="302"/>
    </row>
    <row r="237" spans="1:11" ht="12.75">
      <c r="A237" s="299"/>
      <c r="B237" s="300"/>
      <c r="C237" s="300" t="s">
        <v>99</v>
      </c>
      <c r="D237" s="301">
        <f>PRESUPUESTO!AK21</f>
        <v>18133.6867093121</v>
      </c>
      <c r="E237" s="301">
        <v>0</v>
      </c>
      <c r="F237" s="301">
        <v>0</v>
      </c>
      <c r="G237" s="301">
        <v>0</v>
      </c>
      <c r="H237" s="301">
        <v>0</v>
      </c>
      <c r="I237" s="301">
        <f t="shared" si="36"/>
        <v>0</v>
      </c>
      <c r="J237" s="301">
        <f t="shared" si="35"/>
        <v>18133.6867093121</v>
      </c>
      <c r="K237" s="302"/>
    </row>
  </sheetData>
  <mergeCells count="13">
    <mergeCell ref="A219:J219"/>
    <mergeCell ref="A1:J1"/>
    <mergeCell ref="A5:J5"/>
    <mergeCell ref="A25:J25"/>
    <mergeCell ref="A44:J44"/>
    <mergeCell ref="A63:J63"/>
    <mergeCell ref="A82:J82"/>
    <mergeCell ref="A101:J101"/>
    <mergeCell ref="A120:J120"/>
    <mergeCell ref="A139:J139"/>
    <mergeCell ref="A159:J159"/>
    <mergeCell ref="A179:J179"/>
    <mergeCell ref="A199:J199"/>
  </mergeCells>
  <conditionalFormatting sqref="J6:K24 J26:K43 B45:B49 J45:K62 J64:K81 B65:B69 J83:K100 J102:K119 B121:B126 J121:J138 K127:K138 J140:K158 J160:K178 J180:K198 J200:K218 J220:K237">
    <cfRule type="cellIs" dxfId="20" priority="1" operator="greaterThanOrEqual">
      <formula>0</formula>
    </cfRule>
  </conditionalFormatting>
  <conditionalFormatting sqref="J6:K24 J26:K43 B45:B49 J45:K62 J64:K81 B65:B69 J83:K100 J102:K119 B121:B126 J121:J138 K127:K138 J140:K158 J160:K178 J180:K198 J200:K218 J220:K237">
    <cfRule type="cellIs" dxfId="19" priority="2" operator="lessThan">
      <formula>0</formula>
    </cfRule>
  </conditionalFormatting>
  <conditionalFormatting sqref="G4 J4 H64:H81 H83:H100 H102:H119 H121:H138 H140:H158">
    <cfRule type="cellIs" dxfId="18" priority="3" operator="equal">
      <formula>0</formula>
    </cfRule>
  </conditionalFormatting>
  <conditionalFormatting sqref="D4:J4 J6:K24 J26:K43 B45:B49 J45:K62 I64:K81 B65:B69 I83:K100 I102:K119 B121:B126 I121:J138 K127:K138 I140:K158 J160:K178 J180:K198 J200:K218 J220:K237">
    <cfRule type="cellIs" dxfId="17" priority="4" operator="equal">
      <formula>0</formula>
    </cfRule>
  </conditionalFormatting>
  <conditionalFormatting sqref="E6:I24 E26:I43 E45:I62 E64:I81 E83:I100 E102:I119 E121:I138 E140:I158 E160:I178 E180:I198 E200:I218 E220:I237">
    <cfRule type="cellIs" dxfId="16" priority="5" operator="equal">
      <formula>0</formula>
    </cfRule>
  </conditionalFormatting>
  <printOptions horizontalCentered="1" gridLines="1"/>
  <pageMargins left="0.19685039370078738" right="0.19685039370078738" top="0.19685039370078738" bottom="0.19685039370078738" header="0" footer="0"/>
  <pageSetup paperSize="9" fitToWidth="0" pageOrder="overThenDown" orientation="portrait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K232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5703125" defaultRowHeight="15.75" customHeight="1"/>
  <cols>
    <col min="1" max="1" width="14.42578125" customWidth="1"/>
    <col min="2" max="2" width="18.28515625" customWidth="1"/>
    <col min="3" max="3" width="33.7109375" customWidth="1"/>
    <col min="4" max="4" width="14.28515625" customWidth="1"/>
    <col min="5" max="6" width="15.7109375" customWidth="1"/>
    <col min="7" max="8" width="16.140625" customWidth="1"/>
    <col min="9" max="9" width="15.5703125" customWidth="1"/>
    <col min="10" max="10" width="17.140625" customWidth="1"/>
    <col min="11" max="11" width="27" customWidth="1"/>
  </cols>
  <sheetData>
    <row r="1" spans="1:11" ht="18">
      <c r="A1" s="292" t="s">
        <v>298</v>
      </c>
      <c r="B1" s="292"/>
      <c r="C1" s="292"/>
      <c r="D1" s="292"/>
      <c r="E1" s="292"/>
      <c r="F1" s="292"/>
      <c r="G1" s="292"/>
      <c r="H1" s="292"/>
      <c r="I1" s="292"/>
      <c r="J1" s="292"/>
      <c r="K1" s="293"/>
    </row>
    <row r="2" spans="1:11" ht="15.75" customHeight="1">
      <c r="A2" s="294"/>
      <c r="B2" s="239"/>
      <c r="C2" s="239"/>
      <c r="D2" s="495" t="s">
        <v>17</v>
      </c>
      <c r="E2" s="496"/>
      <c r="F2" s="495" t="s">
        <v>35</v>
      </c>
      <c r="G2" s="496"/>
      <c r="H2" s="240"/>
      <c r="I2" s="240"/>
      <c r="J2" s="240"/>
      <c r="K2" s="295"/>
    </row>
    <row r="3" spans="1:11" ht="15.75" customHeight="1">
      <c r="A3" s="296" t="s">
        <v>299</v>
      </c>
      <c r="B3" s="242" t="s">
        <v>300</v>
      </c>
      <c r="C3" s="242" t="s">
        <v>67</v>
      </c>
      <c r="D3" s="244" t="s">
        <v>55</v>
      </c>
      <c r="E3" s="244" t="s">
        <v>54</v>
      </c>
      <c r="F3" s="244" t="s">
        <v>57</v>
      </c>
      <c r="G3" s="244" t="s">
        <v>355</v>
      </c>
      <c r="H3" s="244" t="s">
        <v>161</v>
      </c>
      <c r="I3" s="244" t="s">
        <v>162</v>
      </c>
      <c r="J3" s="244" t="s">
        <v>70</v>
      </c>
      <c r="K3" s="243" t="s">
        <v>356</v>
      </c>
    </row>
    <row r="4" spans="1:11">
      <c r="A4" s="217"/>
      <c r="B4" s="218"/>
      <c r="C4" s="218"/>
      <c r="D4" s="309">
        <f t="shared" ref="D4:J4" si="0">SUM(D5:D232)</f>
        <v>-444000</v>
      </c>
      <c r="E4" s="309">
        <f t="shared" si="0"/>
        <v>0</v>
      </c>
      <c r="F4" s="309">
        <f t="shared" si="0"/>
        <v>1200</v>
      </c>
      <c r="G4" s="309">
        <f t="shared" si="0"/>
        <v>0</v>
      </c>
      <c r="H4" s="309">
        <f t="shared" si="0"/>
        <v>0</v>
      </c>
      <c r="I4" s="309">
        <f t="shared" si="0"/>
        <v>0</v>
      </c>
      <c r="J4" s="309">
        <f t="shared" si="0"/>
        <v>-442800</v>
      </c>
      <c r="K4" s="297"/>
    </row>
    <row r="5" spans="1:11" ht="12.75">
      <c r="A5" s="493" t="s">
        <v>302</v>
      </c>
      <c r="B5" s="456"/>
      <c r="C5" s="456"/>
      <c r="D5" s="456"/>
      <c r="E5" s="456"/>
      <c r="F5" s="456"/>
      <c r="G5" s="456"/>
      <c r="H5" s="456"/>
      <c r="I5" s="456"/>
      <c r="J5" s="456"/>
      <c r="K5" s="298"/>
    </row>
    <row r="6" spans="1:11" ht="12.75">
      <c r="A6" s="299"/>
      <c r="B6" s="300"/>
      <c r="C6" s="300"/>
      <c r="D6" s="301"/>
      <c r="E6" s="301"/>
      <c r="F6" s="301"/>
      <c r="G6" s="301"/>
      <c r="H6" s="301"/>
      <c r="I6" s="301"/>
      <c r="J6" s="301">
        <f t="shared" ref="J6:J23" si="1">SUM(D6:I6)</f>
        <v>0</v>
      </c>
      <c r="K6" s="302"/>
    </row>
    <row r="7" spans="1:11" ht="12.75">
      <c r="A7" s="299"/>
      <c r="B7" s="300"/>
      <c r="C7" s="300"/>
      <c r="D7" s="301"/>
      <c r="E7" s="301"/>
      <c r="F7" s="301"/>
      <c r="G7" s="301"/>
      <c r="H7" s="301"/>
      <c r="I7" s="301"/>
      <c r="J7" s="301">
        <f t="shared" si="1"/>
        <v>0</v>
      </c>
      <c r="K7" s="302"/>
    </row>
    <row r="8" spans="1:11" ht="12.75">
      <c r="A8" s="299"/>
      <c r="B8" s="300"/>
      <c r="C8" s="300"/>
      <c r="D8" s="301"/>
      <c r="E8" s="301"/>
      <c r="F8" s="301"/>
      <c r="G8" s="301"/>
      <c r="H8" s="301"/>
      <c r="I8" s="301"/>
      <c r="J8" s="301">
        <f t="shared" si="1"/>
        <v>0</v>
      </c>
      <c r="K8" s="302"/>
    </row>
    <row r="9" spans="1:11" ht="12.75">
      <c r="A9" s="299"/>
      <c r="B9" s="300"/>
      <c r="C9" s="300"/>
      <c r="D9" s="301"/>
      <c r="E9" s="301"/>
      <c r="F9" s="301"/>
      <c r="G9" s="301"/>
      <c r="H9" s="301"/>
      <c r="I9" s="301"/>
      <c r="J9" s="301">
        <f t="shared" si="1"/>
        <v>0</v>
      </c>
      <c r="K9" s="302"/>
    </row>
    <row r="10" spans="1:11" ht="12.75">
      <c r="A10" s="299"/>
      <c r="B10" s="300"/>
      <c r="C10" s="300"/>
      <c r="D10" s="301"/>
      <c r="E10" s="301"/>
      <c r="F10" s="301"/>
      <c r="G10" s="301"/>
      <c r="H10" s="301"/>
      <c r="I10" s="301"/>
      <c r="J10" s="301">
        <f t="shared" si="1"/>
        <v>0</v>
      </c>
      <c r="K10" s="302"/>
    </row>
    <row r="11" spans="1:11" ht="12.75">
      <c r="A11" s="299"/>
      <c r="B11" s="300"/>
      <c r="C11" s="300"/>
      <c r="D11" s="301"/>
      <c r="E11" s="301"/>
      <c r="F11" s="301"/>
      <c r="G11" s="301"/>
      <c r="H11" s="301"/>
      <c r="I11" s="301"/>
      <c r="J11" s="301">
        <f t="shared" si="1"/>
        <v>0</v>
      </c>
      <c r="K11" s="302"/>
    </row>
    <row r="12" spans="1:11" ht="12.75">
      <c r="A12" s="299"/>
      <c r="B12" s="300"/>
      <c r="C12" s="300"/>
      <c r="D12" s="301"/>
      <c r="E12" s="301"/>
      <c r="F12" s="301"/>
      <c r="G12" s="301"/>
      <c r="H12" s="301"/>
      <c r="I12" s="301"/>
      <c r="J12" s="301">
        <f t="shared" si="1"/>
        <v>0</v>
      </c>
      <c r="K12" s="302"/>
    </row>
    <row r="13" spans="1:11" ht="12.75">
      <c r="A13" s="299"/>
      <c r="B13" s="300"/>
      <c r="C13" s="300"/>
      <c r="D13" s="301"/>
      <c r="E13" s="301"/>
      <c r="F13" s="301"/>
      <c r="G13" s="301"/>
      <c r="H13" s="301"/>
      <c r="I13" s="301"/>
      <c r="J13" s="301">
        <f t="shared" si="1"/>
        <v>0</v>
      </c>
      <c r="K13" s="302"/>
    </row>
    <row r="14" spans="1:11" ht="12.75">
      <c r="A14" s="299"/>
      <c r="B14" s="300"/>
      <c r="C14" s="300"/>
      <c r="D14" s="301"/>
      <c r="E14" s="301"/>
      <c r="F14" s="301"/>
      <c r="G14" s="301"/>
      <c r="H14" s="301"/>
      <c r="I14" s="301"/>
      <c r="J14" s="301">
        <f t="shared" si="1"/>
        <v>0</v>
      </c>
      <c r="K14" s="302"/>
    </row>
    <row r="15" spans="1:11" ht="12.75">
      <c r="A15" s="299"/>
      <c r="B15" s="300"/>
      <c r="C15" s="300"/>
      <c r="D15" s="301"/>
      <c r="E15" s="301"/>
      <c r="F15" s="301"/>
      <c r="G15" s="301"/>
      <c r="H15" s="301"/>
      <c r="I15" s="301"/>
      <c r="J15" s="301">
        <f t="shared" si="1"/>
        <v>0</v>
      </c>
      <c r="K15" s="302"/>
    </row>
    <row r="16" spans="1:11" ht="12.75">
      <c r="A16" s="299"/>
      <c r="B16" s="300"/>
      <c r="C16" s="300"/>
      <c r="D16" s="301"/>
      <c r="E16" s="301"/>
      <c r="F16" s="301"/>
      <c r="G16" s="301"/>
      <c r="H16" s="301"/>
      <c r="I16" s="301"/>
      <c r="J16" s="301">
        <f t="shared" si="1"/>
        <v>0</v>
      </c>
      <c r="K16" s="302"/>
    </row>
    <row r="17" spans="1:11" ht="12.75">
      <c r="A17" s="299"/>
      <c r="B17" s="300"/>
      <c r="C17" s="300"/>
      <c r="D17" s="301"/>
      <c r="E17" s="301"/>
      <c r="F17" s="301"/>
      <c r="G17" s="301"/>
      <c r="H17" s="301"/>
      <c r="I17" s="301"/>
      <c r="J17" s="301">
        <f t="shared" si="1"/>
        <v>0</v>
      </c>
      <c r="K17" s="302"/>
    </row>
    <row r="18" spans="1:11" ht="12.75">
      <c r="A18" s="299"/>
      <c r="B18" s="300"/>
      <c r="C18" s="300"/>
      <c r="D18" s="301"/>
      <c r="E18" s="301"/>
      <c r="F18" s="301"/>
      <c r="G18" s="301"/>
      <c r="H18" s="301"/>
      <c r="I18" s="301"/>
      <c r="J18" s="301">
        <f t="shared" si="1"/>
        <v>0</v>
      </c>
      <c r="K18" s="302"/>
    </row>
    <row r="19" spans="1:11" ht="12.75">
      <c r="A19" s="299"/>
      <c r="B19" s="300"/>
      <c r="C19" s="300"/>
      <c r="D19" s="301"/>
      <c r="E19" s="301"/>
      <c r="F19" s="301"/>
      <c r="G19" s="301"/>
      <c r="H19" s="301"/>
      <c r="I19" s="301"/>
      <c r="J19" s="301">
        <f t="shared" si="1"/>
        <v>0</v>
      </c>
      <c r="K19" s="302"/>
    </row>
    <row r="20" spans="1:11" ht="12.75">
      <c r="A20" s="299"/>
      <c r="B20" s="300"/>
      <c r="C20" s="300"/>
      <c r="D20" s="301"/>
      <c r="E20" s="301"/>
      <c r="F20" s="301"/>
      <c r="G20" s="301"/>
      <c r="H20" s="301"/>
      <c r="I20" s="301"/>
      <c r="J20" s="301">
        <f t="shared" si="1"/>
        <v>0</v>
      </c>
      <c r="K20" s="302"/>
    </row>
    <row r="21" spans="1:11" ht="12.75">
      <c r="A21" s="299"/>
      <c r="B21" s="300"/>
      <c r="C21" s="300"/>
      <c r="D21" s="301"/>
      <c r="E21" s="301"/>
      <c r="F21" s="301"/>
      <c r="G21" s="301"/>
      <c r="H21" s="301"/>
      <c r="I21" s="301"/>
      <c r="J21" s="301">
        <f t="shared" si="1"/>
        <v>0</v>
      </c>
      <c r="K21" s="302"/>
    </row>
    <row r="22" spans="1:11" ht="12.75">
      <c r="A22" s="299"/>
      <c r="B22" s="300"/>
      <c r="C22" s="300"/>
      <c r="D22" s="301"/>
      <c r="E22" s="301"/>
      <c r="F22" s="301"/>
      <c r="G22" s="301"/>
      <c r="H22" s="301"/>
      <c r="I22" s="301"/>
      <c r="J22" s="301">
        <f t="shared" si="1"/>
        <v>0</v>
      </c>
      <c r="K22" s="302"/>
    </row>
    <row r="23" spans="1:11" ht="12.75">
      <c r="A23" s="299"/>
      <c r="B23" s="300"/>
      <c r="C23" s="300"/>
      <c r="D23" s="301"/>
      <c r="E23" s="301"/>
      <c r="F23" s="301"/>
      <c r="G23" s="301"/>
      <c r="H23" s="301"/>
      <c r="I23" s="301"/>
      <c r="J23" s="301">
        <f t="shared" si="1"/>
        <v>0</v>
      </c>
      <c r="K23" s="302"/>
    </row>
    <row r="24" spans="1:11" ht="12.75">
      <c r="A24" s="493" t="s">
        <v>313</v>
      </c>
      <c r="B24" s="456"/>
      <c r="C24" s="456"/>
      <c r="D24" s="456"/>
      <c r="E24" s="456"/>
      <c r="F24" s="456"/>
      <c r="G24" s="456"/>
      <c r="H24" s="456"/>
      <c r="I24" s="456"/>
      <c r="J24" s="456"/>
      <c r="K24" s="298"/>
    </row>
    <row r="25" spans="1:11" ht="12.75">
      <c r="A25" s="299"/>
      <c r="B25" s="300"/>
      <c r="C25" s="300"/>
      <c r="D25" s="301"/>
      <c r="E25" s="301"/>
      <c r="F25" s="301"/>
      <c r="G25" s="301"/>
      <c r="H25" s="301"/>
      <c r="I25" s="301"/>
      <c r="J25" s="301">
        <f t="shared" ref="J25:J36" si="2">SUM(D25:I25)</f>
        <v>0</v>
      </c>
      <c r="K25" s="302"/>
    </row>
    <row r="26" spans="1:11" ht="12.75">
      <c r="A26" s="299"/>
      <c r="B26" s="300"/>
      <c r="C26" s="300"/>
      <c r="D26" s="301"/>
      <c r="E26" s="301"/>
      <c r="F26" s="301"/>
      <c r="G26" s="301"/>
      <c r="H26" s="301"/>
      <c r="I26" s="301"/>
      <c r="J26" s="301">
        <f t="shared" si="2"/>
        <v>0</v>
      </c>
      <c r="K26" s="302" t="s">
        <v>314</v>
      </c>
    </row>
    <row r="27" spans="1:11" ht="12.75">
      <c r="A27" s="299"/>
      <c r="B27" s="300"/>
      <c r="C27" s="300"/>
      <c r="D27" s="301"/>
      <c r="E27" s="301"/>
      <c r="F27" s="301"/>
      <c r="G27" s="301"/>
      <c r="H27" s="301"/>
      <c r="I27" s="301"/>
      <c r="J27" s="301">
        <f t="shared" si="2"/>
        <v>0</v>
      </c>
      <c r="K27" s="302"/>
    </row>
    <row r="28" spans="1:11" ht="12.75">
      <c r="A28" s="299"/>
      <c r="B28" s="300"/>
      <c r="C28" s="300"/>
      <c r="D28" s="301"/>
      <c r="E28" s="301"/>
      <c r="F28" s="301"/>
      <c r="G28" s="301"/>
      <c r="H28" s="301"/>
      <c r="I28" s="301"/>
      <c r="J28" s="301">
        <f t="shared" si="2"/>
        <v>0</v>
      </c>
      <c r="K28" s="302"/>
    </row>
    <row r="29" spans="1:11" ht="12.75">
      <c r="A29" s="299"/>
      <c r="B29" s="300"/>
      <c r="C29" s="300"/>
      <c r="D29" s="301"/>
      <c r="E29" s="301"/>
      <c r="F29" s="301"/>
      <c r="G29" s="301"/>
      <c r="H29" s="301"/>
      <c r="I29" s="301"/>
      <c r="J29" s="301">
        <f t="shared" si="2"/>
        <v>0</v>
      </c>
      <c r="K29" s="303" t="s">
        <v>315</v>
      </c>
    </row>
    <row r="30" spans="1:11" ht="12.75">
      <c r="A30" s="299"/>
      <c r="B30" s="300"/>
      <c r="C30" s="300"/>
      <c r="D30" s="301"/>
      <c r="E30" s="301"/>
      <c r="F30" s="301"/>
      <c r="G30" s="301"/>
      <c r="H30" s="301"/>
      <c r="I30" s="301"/>
      <c r="J30" s="301">
        <f t="shared" si="2"/>
        <v>0</v>
      </c>
      <c r="K30" s="302"/>
    </row>
    <row r="31" spans="1:11" ht="12.75">
      <c r="A31" s="299"/>
      <c r="B31" s="300"/>
      <c r="C31" s="300"/>
      <c r="D31" s="301"/>
      <c r="E31" s="301"/>
      <c r="F31" s="301"/>
      <c r="G31" s="301"/>
      <c r="H31" s="301"/>
      <c r="I31" s="301"/>
      <c r="J31" s="301">
        <f t="shared" si="2"/>
        <v>0</v>
      </c>
      <c r="K31" s="302"/>
    </row>
    <row r="32" spans="1:11" ht="12.75">
      <c r="A32" s="299"/>
      <c r="B32" s="300"/>
      <c r="C32" s="300"/>
      <c r="D32" s="301"/>
      <c r="E32" s="301"/>
      <c r="F32" s="301"/>
      <c r="G32" s="301"/>
      <c r="H32" s="301"/>
      <c r="I32" s="301"/>
      <c r="J32" s="301">
        <f t="shared" si="2"/>
        <v>0</v>
      </c>
      <c r="K32" s="302"/>
    </row>
    <row r="33" spans="1:11" ht="12.75">
      <c r="A33" s="299"/>
      <c r="B33" s="300"/>
      <c r="C33" s="300"/>
      <c r="D33" s="301"/>
      <c r="E33" s="301"/>
      <c r="F33" s="301"/>
      <c r="G33" s="301"/>
      <c r="H33" s="301"/>
      <c r="I33" s="301"/>
      <c r="J33" s="301">
        <f t="shared" si="2"/>
        <v>0</v>
      </c>
      <c r="K33" s="302"/>
    </row>
    <row r="34" spans="1:11" ht="12.75">
      <c r="A34" s="299"/>
      <c r="B34" s="300"/>
      <c r="C34" s="300"/>
      <c r="D34" s="301"/>
      <c r="E34" s="301"/>
      <c r="F34" s="301"/>
      <c r="G34" s="301"/>
      <c r="H34" s="301"/>
      <c r="I34" s="301"/>
      <c r="J34" s="301">
        <f t="shared" si="2"/>
        <v>0</v>
      </c>
      <c r="K34" s="302"/>
    </row>
    <row r="35" spans="1:11" ht="12.75">
      <c r="A35" s="299"/>
      <c r="B35" s="300"/>
      <c r="C35" s="300"/>
      <c r="D35" s="301"/>
      <c r="E35" s="301"/>
      <c r="F35" s="301"/>
      <c r="G35" s="301"/>
      <c r="H35" s="301"/>
      <c r="I35" s="301"/>
      <c r="J35" s="301">
        <f t="shared" si="2"/>
        <v>0</v>
      </c>
      <c r="K35" s="302"/>
    </row>
    <row r="36" spans="1:11" ht="12.75">
      <c r="A36" s="299"/>
      <c r="B36" s="300"/>
      <c r="C36" s="300"/>
      <c r="D36" s="301"/>
      <c r="E36" s="301"/>
      <c r="F36" s="301"/>
      <c r="G36" s="301"/>
      <c r="H36" s="301"/>
      <c r="I36" s="301"/>
      <c r="J36" s="301">
        <f t="shared" si="2"/>
        <v>0</v>
      </c>
      <c r="K36" s="302"/>
    </row>
    <row r="37" spans="1:11" ht="12.75">
      <c r="A37" s="299"/>
      <c r="B37" s="300"/>
      <c r="C37" s="300"/>
      <c r="D37" s="301"/>
      <c r="E37" s="301"/>
      <c r="F37" s="301"/>
      <c r="G37" s="301"/>
      <c r="H37" s="301"/>
      <c r="I37" s="301"/>
      <c r="J37" s="301"/>
      <c r="K37" s="302"/>
    </row>
    <row r="38" spans="1:11" ht="12.75">
      <c r="A38" s="299"/>
      <c r="B38" s="300"/>
      <c r="C38" s="300"/>
      <c r="D38" s="301"/>
      <c r="E38" s="301"/>
      <c r="F38" s="301"/>
      <c r="G38" s="301"/>
      <c r="H38" s="301"/>
      <c r="I38" s="301"/>
      <c r="J38" s="301">
        <f t="shared" ref="J38:J42" si="3">SUM(D38:I38)</f>
        <v>0</v>
      </c>
      <c r="K38" s="302"/>
    </row>
    <row r="39" spans="1:11" ht="12.75">
      <c r="A39" s="299"/>
      <c r="B39" s="300"/>
      <c r="C39" s="300"/>
      <c r="D39" s="301"/>
      <c r="E39" s="301"/>
      <c r="F39" s="301"/>
      <c r="G39" s="301"/>
      <c r="H39" s="301"/>
      <c r="I39" s="301"/>
      <c r="J39" s="301">
        <f t="shared" si="3"/>
        <v>0</v>
      </c>
      <c r="K39" s="302"/>
    </row>
    <row r="40" spans="1:11" ht="12.75">
      <c r="A40" s="299"/>
      <c r="B40" s="305"/>
      <c r="C40" s="300"/>
      <c r="D40" s="301"/>
      <c r="E40" s="301"/>
      <c r="F40" s="301"/>
      <c r="G40" s="301"/>
      <c r="H40" s="301"/>
      <c r="I40" s="301"/>
      <c r="J40" s="301">
        <f t="shared" si="3"/>
        <v>0</v>
      </c>
      <c r="K40" s="302"/>
    </row>
    <row r="41" spans="1:11" ht="12.75">
      <c r="A41" s="299"/>
      <c r="B41" s="300"/>
      <c r="C41" s="300"/>
      <c r="D41" s="301"/>
      <c r="E41" s="301"/>
      <c r="F41" s="301"/>
      <c r="G41" s="301"/>
      <c r="H41" s="301"/>
      <c r="I41" s="301"/>
      <c r="J41" s="301">
        <f t="shared" si="3"/>
        <v>0</v>
      </c>
      <c r="K41" s="302"/>
    </row>
    <row r="42" spans="1:11" ht="12.75">
      <c r="A42" s="299"/>
      <c r="B42" s="300"/>
      <c r="C42" s="300"/>
      <c r="D42" s="301"/>
      <c r="E42" s="301"/>
      <c r="F42" s="301"/>
      <c r="G42" s="301"/>
      <c r="H42" s="301"/>
      <c r="I42" s="301"/>
      <c r="J42" s="301">
        <f t="shared" si="3"/>
        <v>0</v>
      </c>
      <c r="K42" s="302"/>
    </row>
    <row r="43" spans="1:11" ht="12.75">
      <c r="A43" s="493" t="s">
        <v>319</v>
      </c>
      <c r="B43" s="456"/>
      <c r="C43" s="456"/>
      <c r="D43" s="456"/>
      <c r="E43" s="456"/>
      <c r="F43" s="456"/>
      <c r="G43" s="456"/>
      <c r="H43" s="456"/>
      <c r="I43" s="456"/>
      <c r="J43" s="456"/>
      <c r="K43" s="298"/>
    </row>
    <row r="44" spans="1:11" ht="12.75">
      <c r="A44" s="299"/>
      <c r="B44" s="302"/>
      <c r="C44" s="300"/>
      <c r="D44" s="301"/>
      <c r="E44" s="301"/>
      <c r="F44" s="301"/>
      <c r="G44" s="301"/>
      <c r="H44" s="301"/>
      <c r="I44" s="301"/>
      <c r="J44" s="301">
        <f t="shared" ref="J44:J55" si="4">SUM(D44:I44)</f>
        <v>0</v>
      </c>
      <c r="K44" s="302"/>
    </row>
    <row r="45" spans="1:11" ht="12.75">
      <c r="A45" s="299"/>
      <c r="B45" s="302"/>
      <c r="C45" s="300"/>
      <c r="D45" s="301"/>
      <c r="E45" s="301"/>
      <c r="F45" s="301"/>
      <c r="G45" s="301"/>
      <c r="H45" s="301"/>
      <c r="I45" s="301"/>
      <c r="J45" s="301">
        <f t="shared" si="4"/>
        <v>0</v>
      </c>
      <c r="K45" s="302"/>
    </row>
    <row r="46" spans="1:11" ht="12.75">
      <c r="A46" s="299"/>
      <c r="B46" s="302"/>
      <c r="C46" s="300"/>
      <c r="D46" s="301"/>
      <c r="E46" s="301"/>
      <c r="F46" s="301"/>
      <c r="G46" s="301"/>
      <c r="H46" s="301"/>
      <c r="I46" s="301"/>
      <c r="J46" s="301">
        <f t="shared" si="4"/>
        <v>0</v>
      </c>
      <c r="K46" s="302"/>
    </row>
    <row r="47" spans="1:11" ht="12.75">
      <c r="A47" s="299"/>
      <c r="B47" s="302"/>
      <c r="C47" s="300"/>
      <c r="D47" s="301"/>
      <c r="E47" s="301"/>
      <c r="F47" s="301"/>
      <c r="G47" s="301"/>
      <c r="H47" s="301"/>
      <c r="I47" s="301"/>
      <c r="J47" s="301">
        <f t="shared" si="4"/>
        <v>0</v>
      </c>
      <c r="K47" s="302"/>
    </row>
    <row r="48" spans="1:11" ht="12.75">
      <c r="A48" s="299"/>
      <c r="B48" s="302"/>
      <c r="C48" s="300"/>
      <c r="D48" s="301"/>
      <c r="E48" s="301"/>
      <c r="F48" s="301"/>
      <c r="G48" s="301"/>
      <c r="H48" s="301"/>
      <c r="I48" s="301"/>
      <c r="J48" s="301">
        <f t="shared" si="4"/>
        <v>0</v>
      </c>
      <c r="K48" s="302"/>
    </row>
    <row r="49" spans="1:11" ht="12.75">
      <c r="A49" s="299"/>
      <c r="B49" s="300"/>
      <c r="C49" s="300"/>
      <c r="D49" s="301"/>
      <c r="E49" s="301"/>
      <c r="F49" s="301"/>
      <c r="G49" s="301"/>
      <c r="H49" s="301"/>
      <c r="I49" s="301"/>
      <c r="J49" s="301">
        <f t="shared" si="4"/>
        <v>0</v>
      </c>
      <c r="K49" s="302"/>
    </row>
    <row r="50" spans="1:11" ht="12.75">
      <c r="A50" s="299"/>
      <c r="B50" s="300"/>
      <c r="C50" s="300"/>
      <c r="D50" s="301"/>
      <c r="E50" s="301"/>
      <c r="F50" s="301"/>
      <c r="G50" s="301"/>
      <c r="H50" s="301"/>
      <c r="I50" s="301"/>
      <c r="J50" s="301">
        <f t="shared" si="4"/>
        <v>0</v>
      </c>
      <c r="K50" s="302"/>
    </row>
    <row r="51" spans="1:11" ht="12.75">
      <c r="A51" s="299"/>
      <c r="B51" s="300"/>
      <c r="C51" s="300"/>
      <c r="D51" s="301"/>
      <c r="E51" s="301"/>
      <c r="F51" s="301"/>
      <c r="G51" s="301"/>
      <c r="H51" s="301"/>
      <c r="I51" s="301"/>
      <c r="J51" s="301">
        <f t="shared" si="4"/>
        <v>0</v>
      </c>
      <c r="K51" s="302"/>
    </row>
    <row r="52" spans="1:11" ht="12.75">
      <c r="A52" s="299"/>
      <c r="B52" s="300"/>
      <c r="C52" s="300"/>
      <c r="D52" s="301"/>
      <c r="E52" s="301"/>
      <c r="F52" s="301"/>
      <c r="G52" s="301"/>
      <c r="H52" s="301"/>
      <c r="I52" s="301"/>
      <c r="J52" s="301">
        <f t="shared" si="4"/>
        <v>0</v>
      </c>
      <c r="K52" s="302"/>
    </row>
    <row r="53" spans="1:11" ht="12.75">
      <c r="A53" s="299"/>
      <c r="B53" s="300"/>
      <c r="C53" s="300"/>
      <c r="D53" s="301"/>
      <c r="E53" s="301"/>
      <c r="F53" s="301"/>
      <c r="G53" s="301"/>
      <c r="H53" s="301"/>
      <c r="I53" s="301"/>
      <c r="J53" s="301">
        <f t="shared" si="4"/>
        <v>0</v>
      </c>
      <c r="K53" s="302"/>
    </row>
    <row r="54" spans="1:11" ht="12.75">
      <c r="A54" s="299"/>
      <c r="B54" s="300"/>
      <c r="C54" s="300"/>
      <c r="D54" s="301"/>
      <c r="E54" s="301"/>
      <c r="F54" s="301"/>
      <c r="G54" s="301"/>
      <c r="H54" s="301"/>
      <c r="I54" s="301"/>
      <c r="J54" s="301">
        <f t="shared" si="4"/>
        <v>0</v>
      </c>
      <c r="K54" s="302"/>
    </row>
    <row r="55" spans="1:11" ht="12.75">
      <c r="A55" s="299"/>
      <c r="B55" s="300"/>
      <c r="C55" s="300"/>
      <c r="D55" s="301"/>
      <c r="E55" s="301"/>
      <c r="F55" s="301"/>
      <c r="G55" s="301"/>
      <c r="H55" s="301"/>
      <c r="I55" s="301"/>
      <c r="J55" s="301">
        <f t="shared" si="4"/>
        <v>0</v>
      </c>
      <c r="K55" s="302"/>
    </row>
    <row r="56" spans="1:11" ht="12.75">
      <c r="A56" s="299"/>
      <c r="B56" s="300"/>
      <c r="C56" s="300"/>
      <c r="D56" s="301"/>
      <c r="E56" s="301"/>
      <c r="F56" s="301"/>
      <c r="G56" s="301"/>
      <c r="H56" s="301"/>
      <c r="I56" s="301"/>
      <c r="J56" s="301"/>
      <c r="K56" s="302"/>
    </row>
    <row r="57" spans="1:11" ht="12.75">
      <c r="A57" s="299"/>
      <c r="B57" s="300"/>
      <c r="C57" s="300"/>
      <c r="D57" s="301"/>
      <c r="E57" s="301"/>
      <c r="F57" s="301"/>
      <c r="G57" s="301"/>
      <c r="H57" s="301"/>
      <c r="I57" s="301"/>
      <c r="J57" s="301">
        <f t="shared" ref="J57:J61" si="5">SUM(D57:I57)</f>
        <v>0</v>
      </c>
      <c r="K57" s="302"/>
    </row>
    <row r="58" spans="1:11" ht="12.75">
      <c r="A58" s="299"/>
      <c r="B58" s="300"/>
      <c r="C58" s="300"/>
      <c r="D58" s="301"/>
      <c r="E58" s="301"/>
      <c r="F58" s="301"/>
      <c r="G58" s="301"/>
      <c r="H58" s="301"/>
      <c r="I58" s="301"/>
      <c r="J58" s="301">
        <f t="shared" si="5"/>
        <v>0</v>
      </c>
      <c r="K58" s="302"/>
    </row>
    <row r="59" spans="1:11" ht="12.75">
      <c r="A59" s="299"/>
      <c r="B59" s="300"/>
      <c r="C59" s="300"/>
      <c r="D59" s="301"/>
      <c r="E59" s="301"/>
      <c r="F59" s="301"/>
      <c r="G59" s="301"/>
      <c r="H59" s="301"/>
      <c r="I59" s="301"/>
      <c r="J59" s="301">
        <f t="shared" si="5"/>
        <v>0</v>
      </c>
      <c r="K59" s="302"/>
    </row>
    <row r="60" spans="1:11" ht="12.75">
      <c r="A60" s="299"/>
      <c r="B60" s="300"/>
      <c r="C60" s="300"/>
      <c r="D60" s="301"/>
      <c r="E60" s="301"/>
      <c r="F60" s="301"/>
      <c r="G60" s="301"/>
      <c r="H60" s="301"/>
      <c r="I60" s="301"/>
      <c r="J60" s="301">
        <f t="shared" si="5"/>
        <v>0</v>
      </c>
      <c r="K60" s="302"/>
    </row>
    <row r="61" spans="1:11" ht="12.75">
      <c r="A61" s="299"/>
      <c r="B61" s="300"/>
      <c r="C61" s="300"/>
      <c r="D61" s="301"/>
      <c r="E61" s="301"/>
      <c r="F61" s="301"/>
      <c r="G61" s="301"/>
      <c r="H61" s="301"/>
      <c r="I61" s="301"/>
      <c r="J61" s="301">
        <f t="shared" si="5"/>
        <v>0</v>
      </c>
      <c r="K61" s="302"/>
    </row>
    <row r="62" spans="1:11" ht="12.75">
      <c r="A62" s="493" t="s">
        <v>22</v>
      </c>
      <c r="B62" s="456"/>
      <c r="C62" s="456"/>
      <c r="D62" s="456"/>
      <c r="E62" s="456"/>
      <c r="F62" s="456"/>
      <c r="G62" s="456"/>
      <c r="H62" s="456"/>
      <c r="I62" s="456"/>
      <c r="J62" s="456"/>
      <c r="K62" s="298"/>
    </row>
    <row r="63" spans="1:11" ht="12.75">
      <c r="A63" s="299"/>
      <c r="B63" s="300"/>
      <c r="C63" s="300"/>
      <c r="D63" s="301"/>
      <c r="E63" s="301"/>
      <c r="F63" s="301"/>
      <c r="G63" s="301"/>
      <c r="H63" s="301"/>
      <c r="I63" s="301"/>
      <c r="J63" s="301">
        <f t="shared" ref="J63:J74" si="6">SUM(D63:I63)</f>
        <v>0</v>
      </c>
      <c r="K63" s="302"/>
    </row>
    <row r="64" spans="1:11" ht="12.75">
      <c r="A64" s="299"/>
      <c r="B64" s="302"/>
      <c r="C64" s="300"/>
      <c r="D64" s="301"/>
      <c r="E64" s="301"/>
      <c r="F64" s="301"/>
      <c r="G64" s="301"/>
      <c r="H64" s="301"/>
      <c r="I64" s="301"/>
      <c r="J64" s="301">
        <f t="shared" si="6"/>
        <v>0</v>
      </c>
      <c r="K64" s="302"/>
    </row>
    <row r="65" spans="1:11" ht="12.75">
      <c r="A65" s="299"/>
      <c r="B65" s="302"/>
      <c r="C65" s="300"/>
      <c r="D65" s="301"/>
      <c r="E65" s="301"/>
      <c r="F65" s="301"/>
      <c r="G65" s="301"/>
      <c r="H65" s="301"/>
      <c r="I65" s="301"/>
      <c r="J65" s="301">
        <f t="shared" si="6"/>
        <v>0</v>
      </c>
      <c r="K65" s="302"/>
    </row>
    <row r="66" spans="1:11" ht="12.75">
      <c r="A66" s="299"/>
      <c r="B66" s="302"/>
      <c r="C66" s="300"/>
      <c r="D66" s="301"/>
      <c r="E66" s="301"/>
      <c r="F66" s="301"/>
      <c r="G66" s="301"/>
      <c r="H66" s="301"/>
      <c r="I66" s="301"/>
      <c r="J66" s="301">
        <f t="shared" si="6"/>
        <v>0</v>
      </c>
      <c r="K66" s="302"/>
    </row>
    <row r="67" spans="1:11" ht="12.75">
      <c r="A67" s="299"/>
      <c r="B67" s="302"/>
      <c r="C67" s="300"/>
      <c r="D67" s="301"/>
      <c r="E67" s="301"/>
      <c r="F67" s="301"/>
      <c r="G67" s="301"/>
      <c r="H67" s="301"/>
      <c r="I67" s="301"/>
      <c r="J67" s="301">
        <f t="shared" si="6"/>
        <v>0</v>
      </c>
      <c r="K67" s="302"/>
    </row>
    <row r="68" spans="1:11" ht="12.75">
      <c r="A68" s="299"/>
      <c r="B68" s="302"/>
      <c r="C68" s="300"/>
      <c r="D68" s="301"/>
      <c r="E68" s="301"/>
      <c r="F68" s="301"/>
      <c r="G68" s="301"/>
      <c r="H68" s="301"/>
      <c r="I68" s="301"/>
      <c r="J68" s="301">
        <f t="shared" si="6"/>
        <v>0</v>
      </c>
      <c r="K68" s="302"/>
    </row>
    <row r="69" spans="1:11" ht="12.75">
      <c r="A69" s="299"/>
      <c r="B69" s="300"/>
      <c r="C69" s="300"/>
      <c r="D69" s="301"/>
      <c r="E69" s="301"/>
      <c r="F69" s="301"/>
      <c r="G69" s="301"/>
      <c r="H69" s="301"/>
      <c r="I69" s="301"/>
      <c r="J69" s="301">
        <f t="shared" si="6"/>
        <v>0</v>
      </c>
      <c r="K69" s="302"/>
    </row>
    <row r="70" spans="1:11" ht="12.75">
      <c r="A70" s="299"/>
      <c r="B70" s="300"/>
      <c r="C70" s="300"/>
      <c r="D70" s="301"/>
      <c r="E70" s="301"/>
      <c r="F70" s="301"/>
      <c r="G70" s="301"/>
      <c r="H70" s="301"/>
      <c r="I70" s="301"/>
      <c r="J70" s="301">
        <f t="shared" si="6"/>
        <v>0</v>
      </c>
      <c r="K70" s="302"/>
    </row>
    <row r="71" spans="1:11" ht="12.75">
      <c r="A71" s="299"/>
      <c r="B71" s="300"/>
      <c r="C71" s="300"/>
      <c r="D71" s="301"/>
      <c r="E71" s="301"/>
      <c r="F71" s="301"/>
      <c r="G71" s="301"/>
      <c r="H71" s="301"/>
      <c r="I71" s="301"/>
      <c r="J71" s="301">
        <f t="shared" si="6"/>
        <v>0</v>
      </c>
      <c r="K71" s="302"/>
    </row>
    <row r="72" spans="1:11" ht="12.75">
      <c r="A72" s="299"/>
      <c r="B72" s="300"/>
      <c r="C72" s="300"/>
      <c r="D72" s="301"/>
      <c r="E72" s="301"/>
      <c r="F72" s="301"/>
      <c r="G72" s="301"/>
      <c r="H72" s="301"/>
      <c r="I72" s="301"/>
      <c r="J72" s="301">
        <f t="shared" si="6"/>
        <v>0</v>
      </c>
      <c r="K72" s="302"/>
    </row>
    <row r="73" spans="1:11" ht="12.75">
      <c r="A73" s="299"/>
      <c r="B73" s="300"/>
      <c r="C73" s="300"/>
      <c r="D73" s="301"/>
      <c r="E73" s="301"/>
      <c r="F73" s="301"/>
      <c r="G73" s="301"/>
      <c r="H73" s="301"/>
      <c r="I73" s="301"/>
      <c r="J73" s="301">
        <f t="shared" si="6"/>
        <v>0</v>
      </c>
      <c r="K73" s="302"/>
    </row>
    <row r="74" spans="1:11" ht="12.75">
      <c r="A74" s="299"/>
      <c r="B74" s="300"/>
      <c r="C74" s="300"/>
      <c r="D74" s="301"/>
      <c r="E74" s="301"/>
      <c r="F74" s="301"/>
      <c r="G74" s="301"/>
      <c r="H74" s="301"/>
      <c r="I74" s="301"/>
      <c r="J74" s="301">
        <f t="shared" si="6"/>
        <v>0</v>
      </c>
      <c r="K74" s="302"/>
    </row>
    <row r="75" spans="1:11" ht="12.75">
      <c r="A75" s="299"/>
      <c r="B75" s="300"/>
      <c r="C75" s="300"/>
      <c r="D75" s="301"/>
      <c r="E75" s="301"/>
      <c r="F75" s="301"/>
      <c r="G75" s="301"/>
      <c r="H75" s="301"/>
      <c r="I75" s="301"/>
      <c r="J75" s="301"/>
      <c r="K75" s="302"/>
    </row>
    <row r="76" spans="1:11" ht="12.75">
      <c r="A76" s="299"/>
      <c r="B76" s="300"/>
      <c r="C76" s="300"/>
      <c r="D76" s="301"/>
      <c r="E76" s="301"/>
      <c r="F76" s="301"/>
      <c r="G76" s="301"/>
      <c r="H76" s="301"/>
      <c r="I76" s="301"/>
      <c r="J76" s="301">
        <f t="shared" ref="J76:J80" si="7">SUM(D76:I76)</f>
        <v>0</v>
      </c>
      <c r="K76" s="302"/>
    </row>
    <row r="77" spans="1:11" ht="12.75">
      <c r="A77" s="299"/>
      <c r="B77" s="300"/>
      <c r="C77" s="300"/>
      <c r="D77" s="301"/>
      <c r="E77" s="301"/>
      <c r="F77" s="301"/>
      <c r="G77" s="301"/>
      <c r="H77" s="301"/>
      <c r="I77" s="301"/>
      <c r="J77" s="301">
        <f t="shared" si="7"/>
        <v>0</v>
      </c>
      <c r="K77" s="302"/>
    </row>
    <row r="78" spans="1:11" ht="12.75">
      <c r="A78" s="299"/>
      <c r="B78" s="300"/>
      <c r="C78" s="300"/>
      <c r="D78" s="301"/>
      <c r="E78" s="301"/>
      <c r="F78" s="301"/>
      <c r="G78" s="301"/>
      <c r="H78" s="301"/>
      <c r="I78" s="301"/>
      <c r="J78" s="301">
        <f t="shared" si="7"/>
        <v>0</v>
      </c>
      <c r="K78" s="302"/>
    </row>
    <row r="79" spans="1:11" ht="12.75">
      <c r="A79" s="299"/>
      <c r="B79" s="300"/>
      <c r="C79" s="300"/>
      <c r="D79" s="301"/>
      <c r="E79" s="301"/>
      <c r="F79" s="301"/>
      <c r="G79" s="301"/>
      <c r="H79" s="301"/>
      <c r="I79" s="301"/>
      <c r="J79" s="301">
        <f t="shared" si="7"/>
        <v>0</v>
      </c>
      <c r="K79" s="302"/>
    </row>
    <row r="80" spans="1:11" ht="12.75">
      <c r="A80" s="299"/>
      <c r="B80" s="300"/>
      <c r="C80" s="300"/>
      <c r="D80" s="301"/>
      <c r="E80" s="301"/>
      <c r="F80" s="301"/>
      <c r="G80" s="301"/>
      <c r="H80" s="301"/>
      <c r="I80" s="301"/>
      <c r="J80" s="301">
        <f t="shared" si="7"/>
        <v>0</v>
      </c>
      <c r="K80" s="302"/>
    </row>
    <row r="81" spans="1:11" ht="12.75">
      <c r="A81" s="493" t="s">
        <v>23</v>
      </c>
      <c r="B81" s="456"/>
      <c r="C81" s="456"/>
      <c r="D81" s="456"/>
      <c r="E81" s="456"/>
      <c r="F81" s="456"/>
      <c r="G81" s="456"/>
      <c r="H81" s="456"/>
      <c r="I81" s="456"/>
      <c r="J81" s="456"/>
      <c r="K81" s="298"/>
    </row>
    <row r="82" spans="1:11" ht="12.75">
      <c r="A82" s="299"/>
      <c r="B82" s="300"/>
      <c r="C82" s="300"/>
      <c r="D82" s="301"/>
      <c r="E82" s="301"/>
      <c r="F82" s="301"/>
      <c r="G82" s="301"/>
      <c r="H82" s="301"/>
      <c r="I82" s="301"/>
      <c r="J82" s="301">
        <f t="shared" ref="J82:J93" si="8">SUM(D82:I82)</f>
        <v>0</v>
      </c>
      <c r="K82" s="302"/>
    </row>
    <row r="83" spans="1:11" ht="12.75">
      <c r="A83" s="299"/>
      <c r="B83" s="300"/>
      <c r="C83" s="300"/>
      <c r="D83" s="301"/>
      <c r="E83" s="301"/>
      <c r="F83" s="301"/>
      <c r="G83" s="301"/>
      <c r="H83" s="301"/>
      <c r="I83" s="301"/>
      <c r="J83" s="301">
        <f t="shared" si="8"/>
        <v>0</v>
      </c>
      <c r="K83" s="302" t="s">
        <v>330</v>
      </c>
    </row>
    <row r="84" spans="1:11" ht="12.75">
      <c r="A84" s="299"/>
      <c r="B84" s="300"/>
      <c r="C84" s="300"/>
      <c r="D84" s="301"/>
      <c r="E84" s="301"/>
      <c r="F84" s="301"/>
      <c r="G84" s="301"/>
      <c r="H84" s="301"/>
      <c r="I84" s="301"/>
      <c r="J84" s="301">
        <f t="shared" si="8"/>
        <v>0</v>
      </c>
      <c r="K84" s="302" t="s">
        <v>331</v>
      </c>
    </row>
    <row r="85" spans="1:11" ht="12.75">
      <c r="A85" s="299"/>
      <c r="B85" s="300"/>
      <c r="C85" s="300"/>
      <c r="D85" s="301"/>
      <c r="E85" s="301"/>
      <c r="F85" s="301"/>
      <c r="G85" s="301"/>
      <c r="H85" s="301"/>
      <c r="I85" s="301"/>
      <c r="J85" s="301">
        <f t="shared" si="8"/>
        <v>0</v>
      </c>
      <c r="K85" s="302" t="s">
        <v>332</v>
      </c>
    </row>
    <row r="86" spans="1:11" ht="12.75">
      <c r="A86" s="299"/>
      <c r="B86" s="300"/>
      <c r="C86" s="300"/>
      <c r="D86" s="301"/>
      <c r="E86" s="301"/>
      <c r="F86" s="301"/>
      <c r="G86" s="301"/>
      <c r="H86" s="301"/>
      <c r="I86" s="301"/>
      <c r="J86" s="301">
        <f t="shared" si="8"/>
        <v>0</v>
      </c>
      <c r="K86" s="302" t="s">
        <v>333</v>
      </c>
    </row>
    <row r="87" spans="1:11" ht="12.75">
      <c r="A87" s="299"/>
      <c r="B87" s="300"/>
      <c r="C87" s="300"/>
      <c r="D87" s="301"/>
      <c r="E87" s="301"/>
      <c r="F87" s="301"/>
      <c r="G87" s="301"/>
      <c r="H87" s="301"/>
      <c r="I87" s="301"/>
      <c r="J87" s="301">
        <f t="shared" si="8"/>
        <v>0</v>
      </c>
      <c r="K87" s="302" t="s">
        <v>334</v>
      </c>
    </row>
    <row r="88" spans="1:11" ht="12.75">
      <c r="A88" s="299"/>
      <c r="B88" s="300"/>
      <c r="C88" s="300"/>
      <c r="D88" s="301"/>
      <c r="E88" s="301"/>
      <c r="F88" s="301"/>
      <c r="G88" s="301"/>
      <c r="H88" s="301"/>
      <c r="I88" s="301"/>
      <c r="J88" s="301">
        <f t="shared" si="8"/>
        <v>0</v>
      </c>
      <c r="K88" s="302"/>
    </row>
    <row r="89" spans="1:11" ht="12.75">
      <c r="A89" s="299"/>
      <c r="B89" s="300"/>
      <c r="C89" s="300"/>
      <c r="D89" s="301"/>
      <c r="E89" s="301"/>
      <c r="F89" s="301"/>
      <c r="G89" s="301"/>
      <c r="H89" s="301"/>
      <c r="I89" s="301"/>
      <c r="J89" s="301">
        <f t="shared" si="8"/>
        <v>0</v>
      </c>
      <c r="K89" s="302"/>
    </row>
    <row r="90" spans="1:11" ht="12.75">
      <c r="A90" s="299"/>
      <c r="B90" s="300"/>
      <c r="C90" s="300"/>
      <c r="D90" s="301"/>
      <c r="E90" s="301"/>
      <c r="F90" s="301"/>
      <c r="G90" s="301"/>
      <c r="H90" s="301"/>
      <c r="I90" s="301"/>
      <c r="J90" s="301">
        <f t="shared" si="8"/>
        <v>0</v>
      </c>
      <c r="K90" s="302"/>
    </row>
    <row r="91" spans="1:11" ht="12.75">
      <c r="A91" s="299"/>
      <c r="B91" s="300"/>
      <c r="C91" s="300"/>
      <c r="D91" s="301"/>
      <c r="E91" s="301"/>
      <c r="F91" s="301"/>
      <c r="G91" s="301"/>
      <c r="H91" s="301"/>
      <c r="I91" s="301"/>
      <c r="J91" s="301">
        <f t="shared" si="8"/>
        <v>0</v>
      </c>
      <c r="K91" s="302"/>
    </row>
    <row r="92" spans="1:11" ht="12.75">
      <c r="A92" s="299"/>
      <c r="B92" s="300"/>
      <c r="C92" s="300"/>
      <c r="D92" s="301"/>
      <c r="E92" s="301"/>
      <c r="F92" s="301"/>
      <c r="G92" s="301"/>
      <c r="H92" s="301"/>
      <c r="I92" s="301"/>
      <c r="J92" s="301">
        <f t="shared" si="8"/>
        <v>0</v>
      </c>
      <c r="K92" s="302"/>
    </row>
    <row r="93" spans="1:11" ht="12.75">
      <c r="A93" s="299"/>
      <c r="B93" s="300"/>
      <c r="C93" s="300"/>
      <c r="D93" s="301"/>
      <c r="E93" s="301"/>
      <c r="F93" s="301"/>
      <c r="G93" s="301"/>
      <c r="H93" s="301"/>
      <c r="I93" s="301"/>
      <c r="J93" s="301">
        <f t="shared" si="8"/>
        <v>0</v>
      </c>
      <c r="K93" s="302"/>
    </row>
    <row r="94" spans="1:11" ht="12.75">
      <c r="A94" s="299"/>
      <c r="B94" s="300"/>
      <c r="C94" s="300"/>
      <c r="D94" s="301"/>
      <c r="E94" s="301"/>
      <c r="F94" s="301"/>
      <c r="G94" s="301"/>
      <c r="H94" s="301"/>
      <c r="I94" s="301"/>
      <c r="J94" s="301"/>
      <c r="K94" s="302"/>
    </row>
    <row r="95" spans="1:11" ht="12.75">
      <c r="A95" s="305"/>
      <c r="B95" s="300"/>
      <c r="C95" s="300"/>
      <c r="D95" s="301"/>
      <c r="E95" s="301"/>
      <c r="F95" s="301"/>
      <c r="G95" s="301"/>
      <c r="H95" s="301"/>
      <c r="I95" s="301"/>
      <c r="J95" s="301">
        <f t="shared" ref="J95:J99" si="9">SUM(D95:I95)</f>
        <v>0</v>
      </c>
      <c r="K95" s="302"/>
    </row>
    <row r="96" spans="1:11" ht="12.75">
      <c r="A96" s="299"/>
      <c r="B96" s="305"/>
      <c r="C96" s="300"/>
      <c r="D96" s="301"/>
      <c r="E96" s="301"/>
      <c r="F96" s="301"/>
      <c r="G96" s="301"/>
      <c r="H96" s="301"/>
      <c r="I96" s="301"/>
      <c r="J96" s="301">
        <f t="shared" si="9"/>
        <v>0</v>
      </c>
      <c r="K96" s="302"/>
    </row>
    <row r="97" spans="1:11" ht="12.75">
      <c r="A97" s="299"/>
      <c r="B97" s="300"/>
      <c r="C97" s="300"/>
      <c r="D97" s="301"/>
      <c r="E97" s="301"/>
      <c r="F97" s="301"/>
      <c r="G97" s="301"/>
      <c r="H97" s="301"/>
      <c r="I97" s="301"/>
      <c r="J97" s="301">
        <f t="shared" si="9"/>
        <v>0</v>
      </c>
      <c r="K97" s="302"/>
    </row>
    <row r="98" spans="1:11" ht="12.75">
      <c r="A98" s="299"/>
      <c r="B98" s="300"/>
      <c r="C98" s="300"/>
      <c r="D98" s="301"/>
      <c r="E98" s="301"/>
      <c r="F98" s="301"/>
      <c r="G98" s="301"/>
      <c r="H98" s="301"/>
      <c r="I98" s="301"/>
      <c r="J98" s="301">
        <f t="shared" si="9"/>
        <v>0</v>
      </c>
      <c r="K98" s="302"/>
    </row>
    <row r="99" spans="1:11" ht="12.75">
      <c r="A99" s="299"/>
      <c r="B99" s="300"/>
      <c r="C99" s="300"/>
      <c r="D99" s="301"/>
      <c r="E99" s="301"/>
      <c r="F99" s="301"/>
      <c r="G99" s="301"/>
      <c r="H99" s="301"/>
      <c r="I99" s="301"/>
      <c r="J99" s="301">
        <f t="shared" si="9"/>
        <v>0</v>
      </c>
      <c r="K99" s="302"/>
    </row>
    <row r="100" spans="1:11" ht="12.75">
      <c r="A100" s="493" t="s">
        <v>24</v>
      </c>
      <c r="B100" s="456"/>
      <c r="C100" s="456"/>
      <c r="D100" s="456"/>
      <c r="E100" s="456"/>
      <c r="F100" s="456"/>
      <c r="G100" s="456"/>
      <c r="H100" s="456"/>
      <c r="I100" s="456"/>
      <c r="J100" s="456"/>
      <c r="K100" s="298"/>
    </row>
    <row r="101" spans="1:11" ht="12.75">
      <c r="A101" s="299"/>
      <c r="B101" s="300"/>
      <c r="C101" s="300"/>
      <c r="D101" s="301"/>
      <c r="E101" s="301"/>
      <c r="F101" s="301"/>
      <c r="G101" s="301"/>
      <c r="H101" s="301"/>
      <c r="I101" s="301"/>
      <c r="J101" s="301">
        <f t="shared" ref="J101:J112" si="10">SUM(D101:I101)</f>
        <v>0</v>
      </c>
      <c r="K101" s="302"/>
    </row>
    <row r="102" spans="1:11" ht="12.75">
      <c r="A102" s="299"/>
      <c r="B102" s="300"/>
      <c r="C102" s="300"/>
      <c r="D102" s="301"/>
      <c r="E102" s="301"/>
      <c r="F102" s="301"/>
      <c r="G102" s="301"/>
      <c r="H102" s="301"/>
      <c r="I102" s="301"/>
      <c r="J102" s="301">
        <f t="shared" si="10"/>
        <v>0</v>
      </c>
      <c r="K102" s="302" t="s">
        <v>337</v>
      </c>
    </row>
    <row r="103" spans="1:11" ht="12.75">
      <c r="A103" s="299"/>
      <c r="B103" s="300"/>
      <c r="C103" s="300"/>
      <c r="D103" s="301"/>
      <c r="E103" s="301"/>
      <c r="F103" s="301"/>
      <c r="G103" s="301"/>
      <c r="H103" s="301"/>
      <c r="I103" s="301"/>
      <c r="J103" s="301">
        <f t="shared" si="10"/>
        <v>0</v>
      </c>
      <c r="K103" s="302" t="s">
        <v>338</v>
      </c>
    </row>
    <row r="104" spans="1:11" ht="12.75">
      <c r="A104" s="299"/>
      <c r="B104" s="300"/>
      <c r="C104" s="300"/>
      <c r="D104" s="301"/>
      <c r="E104" s="301"/>
      <c r="F104" s="301"/>
      <c r="G104" s="301"/>
      <c r="H104" s="301"/>
      <c r="I104" s="301"/>
      <c r="J104" s="301">
        <f t="shared" si="10"/>
        <v>0</v>
      </c>
      <c r="K104" s="302" t="s">
        <v>339</v>
      </c>
    </row>
    <row r="105" spans="1:11" ht="12.75">
      <c r="A105" s="299"/>
      <c r="B105" s="300"/>
      <c r="C105" s="300"/>
      <c r="D105" s="301"/>
      <c r="E105" s="301"/>
      <c r="F105" s="301"/>
      <c r="G105" s="301"/>
      <c r="H105" s="301"/>
      <c r="I105" s="301"/>
      <c r="J105" s="301">
        <f t="shared" si="10"/>
        <v>0</v>
      </c>
      <c r="K105" s="302" t="s">
        <v>340</v>
      </c>
    </row>
    <row r="106" spans="1:11" ht="12.75">
      <c r="A106" s="299"/>
      <c r="B106" s="300"/>
      <c r="C106" s="300"/>
      <c r="D106" s="301"/>
      <c r="E106" s="301"/>
      <c r="F106" s="301"/>
      <c r="G106" s="301"/>
      <c r="H106" s="301"/>
      <c r="I106" s="301"/>
      <c r="J106" s="301">
        <f t="shared" si="10"/>
        <v>0</v>
      </c>
      <c r="K106" s="302" t="s">
        <v>341</v>
      </c>
    </row>
    <row r="107" spans="1:11" ht="12.75">
      <c r="A107" s="299"/>
      <c r="B107" s="300"/>
      <c r="C107" s="300"/>
      <c r="D107" s="301"/>
      <c r="E107" s="301"/>
      <c r="F107" s="301"/>
      <c r="G107" s="301"/>
      <c r="H107" s="301"/>
      <c r="I107" s="301"/>
      <c r="J107" s="301">
        <f t="shared" si="10"/>
        <v>0</v>
      </c>
      <c r="K107" s="302"/>
    </row>
    <row r="108" spans="1:11" ht="12.75">
      <c r="A108" s="299"/>
      <c r="B108" s="300"/>
      <c r="C108" s="300"/>
      <c r="D108" s="301"/>
      <c r="E108" s="301"/>
      <c r="F108" s="301"/>
      <c r="G108" s="301"/>
      <c r="H108" s="301"/>
      <c r="I108" s="301"/>
      <c r="J108" s="301">
        <f t="shared" si="10"/>
        <v>0</v>
      </c>
      <c r="K108" s="302"/>
    </row>
    <row r="109" spans="1:11" ht="12.75">
      <c r="A109" s="299"/>
      <c r="B109" s="300"/>
      <c r="C109" s="300"/>
      <c r="D109" s="301"/>
      <c r="E109" s="301"/>
      <c r="F109" s="301"/>
      <c r="G109" s="301"/>
      <c r="H109" s="301"/>
      <c r="I109" s="301"/>
      <c r="J109" s="301">
        <f t="shared" si="10"/>
        <v>0</v>
      </c>
      <c r="K109" s="302"/>
    </row>
    <row r="110" spans="1:11" ht="12.75">
      <c r="A110" s="299"/>
      <c r="B110" s="300"/>
      <c r="C110" s="300"/>
      <c r="D110" s="301"/>
      <c r="E110" s="301"/>
      <c r="F110" s="301"/>
      <c r="G110" s="301"/>
      <c r="H110" s="301"/>
      <c r="I110" s="301"/>
      <c r="J110" s="301">
        <f t="shared" si="10"/>
        <v>0</v>
      </c>
      <c r="K110" s="302"/>
    </row>
    <row r="111" spans="1:11" ht="12.75">
      <c r="A111" s="299"/>
      <c r="B111" s="300"/>
      <c r="C111" s="300"/>
      <c r="D111" s="301"/>
      <c r="E111" s="301"/>
      <c r="F111" s="301"/>
      <c r="G111" s="301"/>
      <c r="H111" s="301"/>
      <c r="I111" s="301"/>
      <c r="J111" s="301">
        <f t="shared" si="10"/>
        <v>0</v>
      </c>
      <c r="K111" s="302"/>
    </row>
    <row r="112" spans="1:11" ht="12.75">
      <c r="A112" s="299"/>
      <c r="B112" s="300"/>
      <c r="C112" s="300"/>
      <c r="D112" s="301"/>
      <c r="E112" s="301"/>
      <c r="F112" s="301"/>
      <c r="G112" s="301"/>
      <c r="H112" s="301"/>
      <c r="I112" s="301"/>
      <c r="J112" s="301">
        <f t="shared" si="10"/>
        <v>0</v>
      </c>
      <c r="K112" s="302" t="s">
        <v>342</v>
      </c>
    </row>
    <row r="113" spans="1:11" ht="12.75">
      <c r="A113" s="299"/>
      <c r="B113" s="300"/>
      <c r="C113" s="300"/>
      <c r="D113" s="301"/>
      <c r="E113" s="301"/>
      <c r="F113" s="301"/>
      <c r="G113" s="301"/>
      <c r="H113" s="301"/>
      <c r="I113" s="301"/>
      <c r="J113" s="301"/>
      <c r="K113" s="302"/>
    </row>
    <row r="114" spans="1:11" ht="12.75">
      <c r="A114" s="299"/>
      <c r="B114" s="300"/>
      <c r="C114" s="300"/>
      <c r="D114" s="301"/>
      <c r="E114" s="301"/>
      <c r="F114" s="301"/>
      <c r="G114" s="301"/>
      <c r="H114" s="301"/>
      <c r="I114" s="301"/>
      <c r="J114" s="301">
        <f t="shared" ref="J114:J118" si="11">SUM(D114:I114)</f>
        <v>0</v>
      </c>
      <c r="K114" s="302"/>
    </row>
    <row r="115" spans="1:11" ht="12.75">
      <c r="A115" s="61"/>
      <c r="B115" s="300"/>
      <c r="C115" s="300"/>
      <c r="D115" s="301"/>
      <c r="G115" s="301"/>
      <c r="H115" s="301"/>
      <c r="I115" s="301"/>
      <c r="J115" s="301">
        <f t="shared" si="11"/>
        <v>0</v>
      </c>
      <c r="K115" s="302"/>
    </row>
    <row r="116" spans="1:11" ht="12.75">
      <c r="A116" s="310"/>
      <c r="B116" s="300"/>
      <c r="C116" s="300"/>
      <c r="D116" s="301"/>
      <c r="G116" s="301"/>
      <c r="H116" s="301"/>
      <c r="I116" s="301"/>
      <c r="J116" s="301">
        <f t="shared" si="11"/>
        <v>0</v>
      </c>
      <c r="K116" s="302"/>
    </row>
    <row r="117" spans="1:11" ht="12.75">
      <c r="A117" s="299"/>
      <c r="B117" s="300"/>
      <c r="C117" s="300"/>
      <c r="D117" s="301"/>
      <c r="E117" s="301"/>
      <c r="F117" s="301"/>
      <c r="G117" s="301"/>
      <c r="H117" s="301"/>
      <c r="I117" s="301"/>
      <c r="J117" s="301">
        <f t="shared" si="11"/>
        <v>0</v>
      </c>
      <c r="K117" s="302"/>
    </row>
    <row r="118" spans="1:11" ht="12.75">
      <c r="A118" s="299"/>
      <c r="B118" s="300"/>
      <c r="C118" s="300"/>
      <c r="D118" s="301"/>
      <c r="E118" s="301"/>
      <c r="F118" s="301"/>
      <c r="G118" s="301"/>
      <c r="H118" s="301"/>
      <c r="I118" s="301"/>
      <c r="J118" s="301">
        <f t="shared" si="11"/>
        <v>0</v>
      </c>
      <c r="K118" s="302"/>
    </row>
    <row r="119" spans="1:11" ht="12.75">
      <c r="A119" s="493" t="s">
        <v>25</v>
      </c>
      <c r="B119" s="456"/>
      <c r="C119" s="456"/>
      <c r="D119" s="456"/>
      <c r="E119" s="456"/>
      <c r="F119" s="456"/>
      <c r="G119" s="456"/>
      <c r="H119" s="456"/>
      <c r="I119" s="456"/>
      <c r="J119" s="456"/>
      <c r="K119" s="298"/>
    </row>
    <row r="120" spans="1:11" ht="12.75">
      <c r="A120" s="299"/>
      <c r="B120" s="302"/>
      <c r="C120" s="300"/>
      <c r="D120" s="301"/>
      <c r="E120" s="301"/>
      <c r="F120" s="301"/>
      <c r="G120" s="301"/>
      <c r="H120" s="301"/>
      <c r="I120" s="301"/>
      <c r="J120" s="301">
        <f t="shared" ref="J120:J131" si="12">SUM(D120:I120)</f>
        <v>0</v>
      </c>
    </row>
    <row r="121" spans="1:11" ht="12.75">
      <c r="A121" s="299"/>
      <c r="B121" s="302"/>
      <c r="C121" s="300"/>
      <c r="D121" s="301"/>
      <c r="E121" s="301"/>
      <c r="F121" s="301"/>
      <c r="G121" s="301"/>
      <c r="H121" s="301"/>
      <c r="I121" s="301"/>
      <c r="J121" s="301">
        <f t="shared" si="12"/>
        <v>0</v>
      </c>
    </row>
    <row r="122" spans="1:11" ht="12.75">
      <c r="A122" s="299"/>
      <c r="B122" s="302"/>
      <c r="C122" s="300"/>
      <c r="D122" s="301"/>
      <c r="E122" s="301"/>
      <c r="F122" s="301"/>
      <c r="G122" s="301"/>
      <c r="H122" s="301"/>
      <c r="I122" s="301"/>
      <c r="J122" s="301">
        <f t="shared" si="12"/>
        <v>0</v>
      </c>
    </row>
    <row r="123" spans="1:11" ht="12.75">
      <c r="A123" s="299"/>
      <c r="B123" s="302"/>
      <c r="C123" s="300"/>
      <c r="D123" s="301"/>
      <c r="E123" s="301"/>
      <c r="F123" s="301"/>
      <c r="G123" s="301"/>
      <c r="H123" s="301"/>
      <c r="I123" s="301"/>
      <c r="J123" s="301">
        <f t="shared" si="12"/>
        <v>0</v>
      </c>
    </row>
    <row r="124" spans="1:11" ht="12.75">
      <c r="A124" s="299"/>
      <c r="B124" s="302"/>
      <c r="C124" s="300"/>
      <c r="D124" s="301"/>
      <c r="E124" s="301"/>
      <c r="F124" s="301"/>
      <c r="G124" s="301"/>
      <c r="H124" s="301"/>
      <c r="I124" s="301"/>
      <c r="J124" s="301">
        <f t="shared" si="12"/>
        <v>0</v>
      </c>
    </row>
    <row r="125" spans="1:11" ht="12.75">
      <c r="A125" s="299"/>
      <c r="B125" s="306"/>
      <c r="C125" s="300"/>
      <c r="D125" s="301"/>
      <c r="E125" s="301"/>
      <c r="F125" s="301"/>
      <c r="G125" s="301"/>
      <c r="H125" s="301"/>
      <c r="I125" s="301"/>
      <c r="J125" s="301">
        <f t="shared" si="12"/>
        <v>0</v>
      </c>
    </row>
    <row r="126" spans="1:11" ht="12.75">
      <c r="A126" s="299"/>
      <c r="B126" s="300"/>
      <c r="C126" s="300"/>
      <c r="D126" s="301"/>
      <c r="E126" s="301"/>
      <c r="F126" s="301"/>
      <c r="G126" s="301"/>
      <c r="H126" s="301"/>
      <c r="I126" s="301"/>
      <c r="J126" s="301">
        <f t="shared" si="12"/>
        <v>0</v>
      </c>
      <c r="K126" s="302"/>
    </row>
    <row r="127" spans="1:11" ht="12.75">
      <c r="A127" s="299"/>
      <c r="B127" s="300"/>
      <c r="C127" s="300"/>
      <c r="D127" s="301"/>
      <c r="E127" s="301"/>
      <c r="F127" s="301"/>
      <c r="G127" s="301"/>
      <c r="H127" s="301"/>
      <c r="I127" s="301"/>
      <c r="J127" s="301">
        <f t="shared" si="12"/>
        <v>0</v>
      </c>
      <c r="K127" s="302"/>
    </row>
    <row r="128" spans="1:11" ht="12.75">
      <c r="A128" s="299"/>
      <c r="B128" s="300"/>
      <c r="C128" s="300"/>
      <c r="D128" s="301"/>
      <c r="E128" s="301"/>
      <c r="F128" s="301"/>
      <c r="G128" s="301"/>
      <c r="H128" s="301"/>
      <c r="I128" s="301"/>
      <c r="J128" s="301">
        <f t="shared" si="12"/>
        <v>0</v>
      </c>
      <c r="K128" s="302"/>
    </row>
    <row r="129" spans="1:11" ht="12.75">
      <c r="A129" s="299"/>
      <c r="B129" s="300"/>
      <c r="C129" s="300"/>
      <c r="D129" s="301"/>
      <c r="E129" s="301"/>
      <c r="F129" s="301"/>
      <c r="G129" s="301"/>
      <c r="H129" s="301"/>
      <c r="I129" s="301"/>
      <c r="J129" s="301">
        <f t="shared" si="12"/>
        <v>0</v>
      </c>
      <c r="K129" s="302"/>
    </row>
    <row r="130" spans="1:11" ht="12.75">
      <c r="A130" s="299"/>
      <c r="B130" s="300"/>
      <c r="C130" s="300"/>
      <c r="D130" s="301"/>
      <c r="E130" s="301"/>
      <c r="F130" s="301"/>
      <c r="G130" s="301"/>
      <c r="H130" s="301"/>
      <c r="I130" s="301"/>
      <c r="J130" s="301">
        <f t="shared" si="12"/>
        <v>0</v>
      </c>
      <c r="K130" s="302"/>
    </row>
    <row r="131" spans="1:11" ht="12.75">
      <c r="A131" s="299"/>
      <c r="B131" s="300"/>
      <c r="C131" s="300"/>
      <c r="D131" s="301"/>
      <c r="E131" s="301"/>
      <c r="F131" s="301"/>
      <c r="G131" s="301"/>
      <c r="H131" s="301"/>
      <c r="I131" s="301"/>
      <c r="J131" s="301">
        <f t="shared" si="12"/>
        <v>0</v>
      </c>
      <c r="K131" s="302"/>
    </row>
    <row r="132" spans="1:11" ht="12.75">
      <c r="A132" s="299"/>
      <c r="B132" s="300"/>
      <c r="C132" s="300"/>
      <c r="D132" s="301"/>
      <c r="E132" s="301"/>
      <c r="F132" s="301"/>
      <c r="G132" s="301"/>
      <c r="H132" s="301"/>
      <c r="I132" s="301"/>
      <c r="J132" s="301"/>
      <c r="K132" s="302"/>
    </row>
    <row r="133" spans="1:11" ht="12.75">
      <c r="A133" s="299"/>
      <c r="B133" s="300"/>
      <c r="C133" s="300"/>
      <c r="D133" s="301"/>
      <c r="E133" s="301"/>
      <c r="F133" s="301"/>
      <c r="G133" s="301"/>
      <c r="H133" s="301"/>
      <c r="I133" s="301"/>
      <c r="J133" s="301">
        <f t="shared" ref="J133:J137" si="13">SUM(D133:I133)</f>
        <v>0</v>
      </c>
      <c r="K133" s="302"/>
    </row>
    <row r="134" spans="1:11" ht="12.75">
      <c r="A134" s="299"/>
      <c r="B134" s="300"/>
      <c r="C134" s="300"/>
      <c r="D134" s="301"/>
      <c r="E134" s="301"/>
      <c r="F134" s="301"/>
      <c r="G134" s="301"/>
      <c r="H134" s="301"/>
      <c r="I134" s="301"/>
      <c r="J134" s="301">
        <f t="shared" si="13"/>
        <v>0</v>
      </c>
      <c r="K134" s="302"/>
    </row>
    <row r="135" spans="1:11" ht="12.75">
      <c r="A135" s="299"/>
      <c r="B135" s="300"/>
      <c r="C135" s="300"/>
      <c r="D135" s="301"/>
      <c r="E135" s="301"/>
      <c r="F135" s="301"/>
      <c r="G135" s="301"/>
      <c r="H135" s="301"/>
      <c r="I135" s="301"/>
      <c r="J135" s="301">
        <f t="shared" si="13"/>
        <v>0</v>
      </c>
      <c r="K135" s="302"/>
    </row>
    <row r="136" spans="1:11" ht="12.75">
      <c r="A136" s="299"/>
      <c r="B136" s="300"/>
      <c r="C136" s="300"/>
      <c r="D136" s="301"/>
      <c r="E136" s="301"/>
      <c r="F136" s="301"/>
      <c r="G136" s="301"/>
      <c r="H136" s="301"/>
      <c r="I136" s="301"/>
      <c r="J136" s="301">
        <f t="shared" si="13"/>
        <v>0</v>
      </c>
      <c r="K136" s="302"/>
    </row>
    <row r="137" spans="1:11" ht="12.75">
      <c r="A137" s="299"/>
      <c r="B137" s="300"/>
      <c r="C137" s="300"/>
      <c r="D137" s="301"/>
      <c r="E137" s="301"/>
      <c r="F137" s="301"/>
      <c r="G137" s="301"/>
      <c r="H137" s="301"/>
      <c r="I137" s="301"/>
      <c r="J137" s="301">
        <f t="shared" si="13"/>
        <v>0</v>
      </c>
      <c r="K137" s="302"/>
    </row>
    <row r="138" spans="1:11" ht="12.75">
      <c r="A138" s="493" t="s">
        <v>26</v>
      </c>
      <c r="B138" s="456"/>
      <c r="C138" s="456"/>
      <c r="D138" s="456"/>
      <c r="E138" s="456"/>
      <c r="F138" s="456"/>
      <c r="G138" s="456"/>
      <c r="H138" s="456"/>
      <c r="I138" s="456"/>
      <c r="J138" s="456"/>
      <c r="K138" s="298"/>
    </row>
    <row r="139" spans="1:11" ht="12.75">
      <c r="A139" s="299"/>
      <c r="B139" s="300"/>
      <c r="C139" s="300"/>
      <c r="D139" s="301"/>
      <c r="E139" s="301"/>
      <c r="F139" s="301"/>
      <c r="G139" s="301"/>
      <c r="H139" s="301"/>
      <c r="I139" s="301"/>
      <c r="J139" s="301">
        <f t="shared" ref="J139:J150" si="14">SUM(D139:I139)</f>
        <v>0</v>
      </c>
      <c r="K139" s="302"/>
    </row>
    <row r="140" spans="1:11" ht="12.75">
      <c r="A140" s="299"/>
      <c r="B140" s="300"/>
      <c r="C140" s="300"/>
      <c r="D140" s="301"/>
      <c r="E140" s="301"/>
      <c r="F140" s="301"/>
      <c r="G140" s="301"/>
      <c r="H140" s="301"/>
      <c r="I140" s="301"/>
      <c r="J140" s="301">
        <f t="shared" si="14"/>
        <v>0</v>
      </c>
      <c r="K140" s="302"/>
    </row>
    <row r="141" spans="1:11" ht="12.75">
      <c r="A141" s="299"/>
      <c r="B141" s="300"/>
      <c r="C141" s="300"/>
      <c r="D141" s="301"/>
      <c r="E141" s="301"/>
      <c r="F141" s="301"/>
      <c r="G141" s="301"/>
      <c r="H141" s="301"/>
      <c r="I141" s="301"/>
      <c r="J141" s="301">
        <f t="shared" si="14"/>
        <v>0</v>
      </c>
      <c r="K141" s="302"/>
    </row>
    <row r="142" spans="1:11" ht="12.75">
      <c r="A142" s="299"/>
      <c r="B142" s="300"/>
      <c r="C142" s="300"/>
      <c r="D142" s="301"/>
      <c r="E142" s="301"/>
      <c r="F142" s="301"/>
      <c r="G142" s="301"/>
      <c r="H142" s="301"/>
      <c r="I142" s="301"/>
      <c r="J142" s="301">
        <f t="shared" si="14"/>
        <v>0</v>
      </c>
      <c r="K142" s="302"/>
    </row>
    <row r="143" spans="1:11" ht="12.75">
      <c r="A143" s="299"/>
      <c r="B143" s="300"/>
      <c r="C143" s="300"/>
      <c r="D143" s="301"/>
      <c r="E143" s="301"/>
      <c r="F143" s="301"/>
      <c r="G143" s="301"/>
      <c r="H143" s="301"/>
      <c r="I143" s="301"/>
      <c r="J143" s="301">
        <f t="shared" si="14"/>
        <v>0</v>
      </c>
      <c r="K143" s="302"/>
    </row>
    <row r="144" spans="1:11" ht="12.75">
      <c r="A144" s="299"/>
      <c r="B144" s="300"/>
      <c r="C144" s="300"/>
      <c r="D144" s="301"/>
      <c r="E144" s="301"/>
      <c r="F144" s="301"/>
      <c r="G144" s="301"/>
      <c r="H144" s="301"/>
      <c r="I144" s="301"/>
      <c r="J144" s="301">
        <f t="shared" si="14"/>
        <v>0</v>
      </c>
      <c r="K144" s="302"/>
    </row>
    <row r="145" spans="1:11" ht="12.75">
      <c r="A145" s="299"/>
      <c r="B145" s="300"/>
      <c r="C145" s="300"/>
      <c r="D145" s="301"/>
      <c r="E145" s="301"/>
      <c r="F145" s="301"/>
      <c r="G145" s="301"/>
      <c r="H145" s="301"/>
      <c r="I145" s="301"/>
      <c r="J145" s="301">
        <f t="shared" si="14"/>
        <v>0</v>
      </c>
      <c r="K145" s="302"/>
    </row>
    <row r="146" spans="1:11" ht="12.75">
      <c r="A146" s="299"/>
      <c r="B146" s="307"/>
      <c r="C146" s="300"/>
      <c r="D146" s="301"/>
      <c r="E146" s="301"/>
      <c r="F146" s="301"/>
      <c r="G146" s="301"/>
      <c r="H146" s="301"/>
      <c r="I146" s="301"/>
      <c r="J146" s="301">
        <f t="shared" si="14"/>
        <v>0</v>
      </c>
      <c r="K146" s="302"/>
    </row>
    <row r="147" spans="1:11" ht="12.75">
      <c r="A147" s="299"/>
      <c r="B147" s="300"/>
      <c r="C147" s="300"/>
      <c r="D147" s="301"/>
      <c r="E147" s="301"/>
      <c r="F147" s="301"/>
      <c r="G147" s="301"/>
      <c r="H147" s="301"/>
      <c r="I147" s="301"/>
      <c r="J147" s="301">
        <f t="shared" si="14"/>
        <v>0</v>
      </c>
      <c r="K147" s="302"/>
    </row>
    <row r="148" spans="1:11" ht="12.75">
      <c r="A148" s="299"/>
      <c r="B148" s="300"/>
      <c r="C148" s="300"/>
      <c r="D148" s="301"/>
      <c r="E148" s="301"/>
      <c r="F148" s="301"/>
      <c r="G148" s="301"/>
      <c r="H148" s="301"/>
      <c r="I148" s="301"/>
      <c r="J148" s="301">
        <f t="shared" si="14"/>
        <v>0</v>
      </c>
      <c r="K148" s="302"/>
    </row>
    <row r="149" spans="1:11" ht="12.75">
      <c r="A149" s="299"/>
      <c r="B149" s="300"/>
      <c r="C149" s="300"/>
      <c r="D149" s="301"/>
      <c r="E149" s="301"/>
      <c r="F149" s="301"/>
      <c r="G149" s="301"/>
      <c r="H149" s="301"/>
      <c r="I149" s="301"/>
      <c r="J149" s="301">
        <f t="shared" si="14"/>
        <v>0</v>
      </c>
      <c r="K149" s="302"/>
    </row>
    <row r="150" spans="1:11" ht="12.75">
      <c r="A150" s="299"/>
      <c r="B150" s="300"/>
      <c r="C150" s="300"/>
      <c r="D150" s="301"/>
      <c r="E150" s="301"/>
      <c r="F150" s="301"/>
      <c r="G150" s="301"/>
      <c r="H150" s="301"/>
      <c r="I150" s="301"/>
      <c r="J150" s="301">
        <f t="shared" si="14"/>
        <v>0</v>
      </c>
      <c r="K150" s="302"/>
    </row>
    <row r="151" spans="1:11" ht="12.75">
      <c r="A151" s="299"/>
      <c r="B151" s="300"/>
      <c r="C151" s="300"/>
      <c r="D151" s="301"/>
      <c r="E151" s="301"/>
      <c r="F151" s="301"/>
      <c r="G151" s="301"/>
      <c r="H151" s="301"/>
      <c r="I151" s="301"/>
      <c r="J151" s="301"/>
      <c r="K151" s="302"/>
    </row>
    <row r="152" spans="1:11" ht="12.75">
      <c r="A152" s="299"/>
      <c r="B152" s="300"/>
      <c r="C152" s="300"/>
      <c r="D152" s="301"/>
      <c r="E152" s="301"/>
      <c r="F152" s="301"/>
      <c r="G152" s="301"/>
      <c r="H152" s="301"/>
      <c r="I152" s="301"/>
      <c r="J152" s="301">
        <f t="shared" ref="J152:J156" si="15">SUM(D152:I152)</f>
        <v>0</v>
      </c>
      <c r="K152" s="302"/>
    </row>
    <row r="153" spans="1:11" ht="12.75">
      <c r="A153" s="299"/>
      <c r="B153" s="300"/>
      <c r="C153" s="300"/>
      <c r="D153" s="301"/>
      <c r="E153" s="301"/>
      <c r="F153" s="301"/>
      <c r="G153" s="301"/>
      <c r="H153" s="301"/>
      <c r="I153" s="301"/>
      <c r="J153" s="301">
        <f t="shared" si="15"/>
        <v>0</v>
      </c>
      <c r="K153" s="302"/>
    </row>
    <row r="154" spans="1:11" ht="12.75">
      <c r="A154" s="299"/>
      <c r="B154" s="300"/>
      <c r="C154" s="300"/>
      <c r="D154" s="301"/>
      <c r="E154" s="301"/>
      <c r="F154" s="301"/>
      <c r="G154" s="301"/>
      <c r="H154" s="301"/>
      <c r="I154" s="301"/>
      <c r="J154" s="301">
        <f t="shared" si="15"/>
        <v>0</v>
      </c>
      <c r="K154" s="302"/>
    </row>
    <row r="155" spans="1:11" ht="12.75">
      <c r="A155" s="299"/>
      <c r="B155" s="300"/>
      <c r="C155" s="300"/>
      <c r="D155" s="301"/>
      <c r="E155" s="301"/>
      <c r="F155" s="301"/>
      <c r="G155" s="301"/>
      <c r="H155" s="301"/>
      <c r="I155" s="301"/>
      <c r="J155" s="301">
        <f t="shared" si="15"/>
        <v>0</v>
      </c>
      <c r="K155" s="302"/>
    </row>
    <row r="156" spans="1:11" ht="12.75">
      <c r="A156" s="299"/>
      <c r="B156" s="300"/>
      <c r="C156" s="300"/>
      <c r="D156" s="301"/>
      <c r="E156" s="301"/>
      <c r="F156" s="301"/>
      <c r="G156" s="301"/>
      <c r="H156" s="301"/>
      <c r="I156" s="301"/>
      <c r="J156" s="301">
        <f t="shared" si="15"/>
        <v>0</v>
      </c>
      <c r="K156" s="302"/>
    </row>
    <row r="157" spans="1:11" ht="12.75">
      <c r="A157" s="493" t="s">
        <v>27</v>
      </c>
      <c r="B157" s="456"/>
      <c r="C157" s="456"/>
      <c r="D157" s="456"/>
      <c r="E157" s="456"/>
      <c r="F157" s="456"/>
      <c r="G157" s="456"/>
      <c r="H157" s="456"/>
      <c r="I157" s="456"/>
      <c r="J157" s="456"/>
      <c r="K157" s="298"/>
    </row>
    <row r="158" spans="1:11" ht="12.75">
      <c r="A158" s="299"/>
      <c r="B158" s="300"/>
      <c r="C158" s="300"/>
      <c r="D158" s="301"/>
      <c r="E158" s="301"/>
      <c r="F158" s="301"/>
      <c r="G158" s="301"/>
      <c r="H158" s="301"/>
      <c r="I158" s="301"/>
      <c r="J158" s="301">
        <f t="shared" ref="J158:J169" si="16">SUM(D158:I158)</f>
        <v>0</v>
      </c>
      <c r="K158" s="302"/>
    </row>
    <row r="159" spans="1:11" ht="12.75">
      <c r="A159" s="299"/>
      <c r="B159" s="300"/>
      <c r="C159" s="300"/>
      <c r="D159" s="301"/>
      <c r="E159" s="301"/>
      <c r="F159" s="301"/>
      <c r="G159" s="301"/>
      <c r="H159" s="301"/>
      <c r="I159" s="301"/>
      <c r="J159" s="301">
        <f t="shared" si="16"/>
        <v>0</v>
      </c>
      <c r="K159" s="302"/>
    </row>
    <row r="160" spans="1:11" ht="12.75">
      <c r="A160" s="299"/>
      <c r="B160" s="300"/>
      <c r="C160" s="300"/>
      <c r="D160" s="301"/>
      <c r="E160" s="301"/>
      <c r="F160" s="301"/>
      <c r="G160" s="301"/>
      <c r="H160" s="301"/>
      <c r="I160" s="301"/>
      <c r="J160" s="301">
        <f t="shared" si="16"/>
        <v>0</v>
      </c>
      <c r="K160" s="302"/>
    </row>
    <row r="161" spans="1:11" ht="14.25">
      <c r="A161" s="299"/>
      <c r="B161" s="300"/>
      <c r="C161" s="300"/>
      <c r="D161" s="301"/>
      <c r="E161" s="301"/>
      <c r="F161" s="301"/>
      <c r="G161" s="308"/>
      <c r="H161" s="308"/>
      <c r="I161" s="301"/>
      <c r="J161" s="301">
        <f t="shared" si="16"/>
        <v>0</v>
      </c>
      <c r="K161" s="302"/>
    </row>
    <row r="162" spans="1:11" ht="12.75">
      <c r="A162" s="299"/>
      <c r="B162" s="300"/>
      <c r="C162" s="300"/>
      <c r="D162" s="301"/>
      <c r="E162" s="301"/>
      <c r="F162" s="301"/>
      <c r="G162" s="301"/>
      <c r="H162" s="301"/>
      <c r="I162" s="301"/>
      <c r="J162" s="301">
        <f t="shared" si="16"/>
        <v>0</v>
      </c>
      <c r="K162" s="302"/>
    </row>
    <row r="163" spans="1:11" ht="12.75">
      <c r="A163" s="299"/>
      <c r="B163" s="300"/>
      <c r="C163" s="300"/>
      <c r="D163" s="301"/>
      <c r="E163" s="301"/>
      <c r="F163" s="301"/>
      <c r="G163" s="301"/>
      <c r="H163" s="301"/>
      <c r="I163" s="301"/>
      <c r="J163" s="301">
        <f t="shared" si="16"/>
        <v>0</v>
      </c>
      <c r="K163" s="302"/>
    </row>
    <row r="164" spans="1:11" ht="12.75">
      <c r="A164" s="299"/>
      <c r="B164" s="300"/>
      <c r="C164" s="300"/>
      <c r="D164" s="301"/>
      <c r="E164" s="301"/>
      <c r="F164" s="301"/>
      <c r="G164" s="301"/>
      <c r="H164" s="301"/>
      <c r="I164" s="301"/>
      <c r="J164" s="301">
        <f t="shared" si="16"/>
        <v>0</v>
      </c>
      <c r="K164" s="302"/>
    </row>
    <row r="165" spans="1:11" ht="12.75">
      <c r="A165" s="299"/>
      <c r="B165" s="300"/>
      <c r="C165" s="300"/>
      <c r="D165" s="301"/>
      <c r="E165" s="301"/>
      <c r="F165" s="301"/>
      <c r="G165" s="301"/>
      <c r="H165" s="301"/>
      <c r="I165" s="301"/>
      <c r="J165" s="301">
        <f t="shared" si="16"/>
        <v>0</v>
      </c>
      <c r="K165" s="302"/>
    </row>
    <row r="166" spans="1:11" ht="12.75">
      <c r="A166" s="299"/>
      <c r="B166" s="300"/>
      <c r="C166" s="300"/>
      <c r="D166" s="301"/>
      <c r="E166" s="301"/>
      <c r="F166" s="301"/>
      <c r="G166" s="301"/>
      <c r="H166" s="301"/>
      <c r="I166" s="301"/>
      <c r="J166" s="301">
        <f t="shared" si="16"/>
        <v>0</v>
      </c>
      <c r="K166" s="302"/>
    </row>
    <row r="167" spans="1:11" ht="12.75">
      <c r="A167" s="299"/>
      <c r="B167" s="300"/>
      <c r="C167" s="300"/>
      <c r="D167" s="301"/>
      <c r="E167" s="301"/>
      <c r="F167" s="301"/>
      <c r="G167" s="301"/>
      <c r="H167" s="301"/>
      <c r="I167" s="301"/>
      <c r="J167" s="301">
        <f t="shared" si="16"/>
        <v>0</v>
      </c>
      <c r="K167" s="302"/>
    </row>
    <row r="168" spans="1:11" ht="12.75">
      <c r="A168" s="299"/>
      <c r="B168" s="300"/>
      <c r="C168" s="300"/>
      <c r="D168" s="301"/>
      <c r="E168" s="301"/>
      <c r="F168" s="301"/>
      <c r="G168" s="301"/>
      <c r="H168" s="301"/>
      <c r="I168" s="301"/>
      <c r="J168" s="301">
        <f t="shared" si="16"/>
        <v>0</v>
      </c>
      <c r="K168" s="302"/>
    </row>
    <row r="169" spans="1:11" ht="12.75">
      <c r="A169" s="299"/>
      <c r="B169" s="300"/>
      <c r="C169" s="300"/>
      <c r="D169" s="301"/>
      <c r="E169" s="301"/>
      <c r="F169" s="301"/>
      <c r="G169" s="301"/>
      <c r="H169" s="301"/>
      <c r="I169" s="301"/>
      <c r="J169" s="301">
        <f t="shared" si="16"/>
        <v>0</v>
      </c>
      <c r="K169" s="302"/>
    </row>
    <row r="170" spans="1:11" ht="12.75">
      <c r="A170" s="299"/>
      <c r="B170" s="300"/>
      <c r="C170" s="300"/>
      <c r="D170" s="301"/>
      <c r="E170" s="301"/>
      <c r="F170" s="301"/>
      <c r="G170" s="301"/>
      <c r="H170" s="301"/>
      <c r="I170" s="301"/>
      <c r="J170" s="301"/>
      <c r="K170" s="302"/>
    </row>
    <row r="171" spans="1:11" ht="14.25">
      <c r="A171" s="299"/>
      <c r="B171" s="300"/>
      <c r="C171" s="300"/>
      <c r="D171" s="301"/>
      <c r="E171" s="301"/>
      <c r="F171" s="301"/>
      <c r="G171" s="308"/>
      <c r="H171" s="308"/>
      <c r="I171" s="301"/>
      <c r="J171" s="301">
        <f t="shared" ref="J171:J175" si="17">SUM(D171:I171)</f>
        <v>0</v>
      </c>
      <c r="K171" s="302"/>
    </row>
    <row r="172" spans="1:11" ht="12.75">
      <c r="A172" s="299"/>
      <c r="B172" s="300"/>
      <c r="C172" s="300"/>
      <c r="D172" s="301"/>
      <c r="E172" s="301"/>
      <c r="F172" s="301"/>
      <c r="G172" s="301"/>
      <c r="H172" s="301"/>
      <c r="I172" s="301"/>
      <c r="J172" s="301">
        <f t="shared" si="17"/>
        <v>0</v>
      </c>
      <c r="K172" s="302"/>
    </row>
    <row r="173" spans="1:11" ht="12.75">
      <c r="A173" s="299"/>
      <c r="B173" s="300"/>
      <c r="C173" s="300"/>
      <c r="D173" s="301"/>
      <c r="E173" s="301"/>
      <c r="F173" s="301"/>
      <c r="G173" s="301"/>
      <c r="H173" s="301"/>
      <c r="I173" s="301"/>
      <c r="J173" s="301">
        <f t="shared" si="17"/>
        <v>0</v>
      </c>
      <c r="K173" s="302"/>
    </row>
    <row r="174" spans="1:11" ht="12.75">
      <c r="A174" s="299"/>
      <c r="B174" s="300"/>
      <c r="C174" s="300"/>
      <c r="D174" s="301"/>
      <c r="E174" s="301"/>
      <c r="F174" s="301"/>
      <c r="G174" s="301"/>
      <c r="H174" s="301"/>
      <c r="I174" s="301"/>
      <c r="J174" s="301">
        <f t="shared" si="17"/>
        <v>0</v>
      </c>
      <c r="K174" s="302"/>
    </row>
    <row r="175" spans="1:11" ht="12.75">
      <c r="A175" s="299"/>
      <c r="B175" s="300"/>
      <c r="C175" s="300"/>
      <c r="D175" s="301"/>
      <c r="E175" s="301"/>
      <c r="F175" s="301"/>
      <c r="G175" s="301"/>
      <c r="H175" s="301"/>
      <c r="I175" s="301"/>
      <c r="J175" s="301">
        <f t="shared" si="17"/>
        <v>0</v>
      </c>
      <c r="K175" s="302"/>
    </row>
    <row r="176" spans="1:11" ht="12.75">
      <c r="A176" s="493" t="s">
        <v>28</v>
      </c>
      <c r="B176" s="456"/>
      <c r="C176" s="456"/>
      <c r="D176" s="456"/>
      <c r="E176" s="456"/>
      <c r="F176" s="456"/>
      <c r="G176" s="456"/>
      <c r="H176" s="456"/>
      <c r="I176" s="456"/>
      <c r="J176" s="456"/>
      <c r="K176" s="298"/>
    </row>
    <row r="177" spans="1:11" ht="12.75">
      <c r="A177" s="299"/>
      <c r="B177" s="300"/>
      <c r="C177" s="300"/>
      <c r="D177" s="301"/>
      <c r="E177" s="301"/>
      <c r="F177" s="301"/>
      <c r="G177" s="301"/>
      <c r="H177" s="301"/>
      <c r="I177" s="301"/>
      <c r="J177" s="301">
        <f t="shared" ref="J177:J188" si="18">SUM(D177:I177)</f>
        <v>0</v>
      </c>
      <c r="K177" s="302"/>
    </row>
    <row r="178" spans="1:11" ht="12.75">
      <c r="A178" s="299"/>
      <c r="B178" s="300"/>
      <c r="C178" s="300"/>
      <c r="D178" s="301"/>
      <c r="E178" s="301"/>
      <c r="F178" s="301"/>
      <c r="G178" s="301"/>
      <c r="H178" s="301"/>
      <c r="I178" s="301"/>
      <c r="J178" s="301">
        <f t="shared" si="18"/>
        <v>0</v>
      </c>
      <c r="K178" s="302"/>
    </row>
    <row r="179" spans="1:11" ht="12.75">
      <c r="A179" s="299"/>
      <c r="B179" s="300"/>
      <c r="C179" s="300"/>
      <c r="D179" s="301"/>
      <c r="E179" s="301"/>
      <c r="F179" s="301"/>
      <c r="G179" s="301"/>
      <c r="H179" s="301"/>
      <c r="I179" s="301"/>
      <c r="J179" s="301">
        <f t="shared" si="18"/>
        <v>0</v>
      </c>
      <c r="K179" s="302"/>
    </row>
    <row r="180" spans="1:11" ht="12.75">
      <c r="A180" s="299"/>
      <c r="B180" s="300"/>
      <c r="C180" s="300"/>
      <c r="D180" s="301"/>
      <c r="E180" s="301"/>
      <c r="F180" s="301"/>
      <c r="G180" s="301"/>
      <c r="H180" s="301"/>
      <c r="I180" s="301"/>
      <c r="J180" s="301">
        <f t="shared" si="18"/>
        <v>0</v>
      </c>
      <c r="K180" s="302"/>
    </row>
    <row r="181" spans="1:11" ht="12.75">
      <c r="A181" s="299"/>
      <c r="B181" s="300"/>
      <c r="C181" s="300"/>
      <c r="D181" s="301"/>
      <c r="E181" s="301"/>
      <c r="F181" s="301"/>
      <c r="G181" s="301"/>
      <c r="H181" s="301"/>
      <c r="I181" s="301"/>
      <c r="J181" s="301">
        <f t="shared" si="18"/>
        <v>0</v>
      </c>
      <c r="K181" s="302"/>
    </row>
    <row r="182" spans="1:11" ht="12.75">
      <c r="A182" s="299"/>
      <c r="B182" s="300"/>
      <c r="C182" s="300"/>
      <c r="D182" s="301"/>
      <c r="E182" s="301"/>
      <c r="F182" s="301"/>
      <c r="G182" s="301"/>
      <c r="H182" s="301"/>
      <c r="I182" s="301"/>
      <c r="J182" s="301">
        <f t="shared" si="18"/>
        <v>0</v>
      </c>
      <c r="K182" s="302"/>
    </row>
    <row r="183" spans="1:11" ht="12.75">
      <c r="A183" s="299"/>
      <c r="B183" s="300"/>
      <c r="C183" s="300"/>
      <c r="D183" s="301"/>
      <c r="E183" s="301"/>
      <c r="F183" s="301"/>
      <c r="G183" s="301"/>
      <c r="H183" s="301"/>
      <c r="I183" s="301"/>
      <c r="J183" s="301">
        <f t="shared" si="18"/>
        <v>0</v>
      </c>
      <c r="K183" s="302"/>
    </row>
    <row r="184" spans="1:11" ht="12.75">
      <c r="A184" s="299"/>
      <c r="B184" s="300"/>
      <c r="C184" s="300"/>
      <c r="D184" s="301"/>
      <c r="E184" s="301"/>
      <c r="F184" s="301"/>
      <c r="G184" s="301"/>
      <c r="H184" s="301"/>
      <c r="I184" s="301"/>
      <c r="J184" s="301">
        <f t="shared" si="18"/>
        <v>0</v>
      </c>
      <c r="K184" s="302"/>
    </row>
    <row r="185" spans="1:11" ht="12.75">
      <c r="A185" s="299"/>
      <c r="B185" s="300"/>
      <c r="C185" s="300"/>
      <c r="D185" s="301"/>
      <c r="E185" s="301"/>
      <c r="F185" s="301"/>
      <c r="G185" s="301"/>
      <c r="H185" s="301"/>
      <c r="I185" s="301"/>
      <c r="J185" s="301">
        <f t="shared" si="18"/>
        <v>0</v>
      </c>
      <c r="K185" s="302"/>
    </row>
    <row r="186" spans="1:11" ht="12.75">
      <c r="A186" s="299"/>
      <c r="B186" s="300"/>
      <c r="C186" s="300"/>
      <c r="D186" s="301"/>
      <c r="E186" s="301"/>
      <c r="F186" s="301"/>
      <c r="G186" s="301"/>
      <c r="H186" s="301"/>
      <c r="I186" s="301"/>
      <c r="J186" s="301">
        <f t="shared" si="18"/>
        <v>0</v>
      </c>
      <c r="K186" s="302"/>
    </row>
    <row r="187" spans="1:11" ht="12.75">
      <c r="A187" s="299"/>
      <c r="B187" s="300"/>
      <c r="C187" s="300"/>
      <c r="D187" s="301"/>
      <c r="E187" s="301"/>
      <c r="F187" s="301"/>
      <c r="G187" s="301"/>
      <c r="H187" s="301"/>
      <c r="I187" s="301"/>
      <c r="J187" s="301">
        <f t="shared" si="18"/>
        <v>0</v>
      </c>
      <c r="K187" s="302"/>
    </row>
    <row r="188" spans="1:11" ht="12.75">
      <c r="A188" s="299"/>
      <c r="B188" s="300"/>
      <c r="C188" s="300"/>
      <c r="D188" s="301"/>
      <c r="E188" s="301"/>
      <c r="F188" s="301"/>
      <c r="G188" s="301"/>
      <c r="H188" s="301"/>
      <c r="I188" s="301"/>
      <c r="J188" s="301">
        <f t="shared" si="18"/>
        <v>0</v>
      </c>
      <c r="K188" s="302"/>
    </row>
    <row r="189" spans="1:11" ht="12.75">
      <c r="A189" s="299"/>
      <c r="B189" s="300"/>
      <c r="C189" s="300"/>
      <c r="D189" s="301"/>
      <c r="E189" s="301"/>
      <c r="F189" s="301"/>
      <c r="G189" s="301"/>
      <c r="H189" s="301"/>
      <c r="I189" s="301"/>
      <c r="J189" s="301"/>
      <c r="K189" s="302"/>
    </row>
    <row r="190" spans="1:11" ht="12.75">
      <c r="A190" s="299"/>
      <c r="B190" s="300"/>
      <c r="C190" s="300"/>
      <c r="D190" s="301"/>
      <c r="E190" s="301"/>
      <c r="F190" s="301"/>
      <c r="G190" s="301"/>
      <c r="H190" s="301"/>
      <c r="I190" s="301"/>
      <c r="J190" s="301">
        <f t="shared" ref="J190:J194" si="19">SUM(D190:I190)</f>
        <v>0</v>
      </c>
      <c r="K190" s="302"/>
    </row>
    <row r="191" spans="1:11" ht="12.75">
      <c r="A191" s="299"/>
      <c r="B191" s="300"/>
      <c r="C191" s="300"/>
      <c r="D191" s="301"/>
      <c r="E191" s="301"/>
      <c r="F191" s="301"/>
      <c r="G191" s="301"/>
      <c r="H191" s="301"/>
      <c r="I191" s="301"/>
      <c r="J191" s="301">
        <f t="shared" si="19"/>
        <v>0</v>
      </c>
      <c r="K191" s="302"/>
    </row>
    <row r="192" spans="1:11" ht="12.75">
      <c r="A192" s="299"/>
      <c r="B192" s="300"/>
      <c r="C192" s="300"/>
      <c r="D192" s="301"/>
      <c r="E192" s="301"/>
      <c r="F192" s="301"/>
      <c r="G192" s="301"/>
      <c r="H192" s="301"/>
      <c r="I192" s="301"/>
      <c r="J192" s="301">
        <f t="shared" si="19"/>
        <v>0</v>
      </c>
      <c r="K192" s="302"/>
    </row>
    <row r="193" spans="1:11" ht="12.75">
      <c r="A193" s="299"/>
      <c r="B193" s="300"/>
      <c r="C193" s="300"/>
      <c r="D193" s="301"/>
      <c r="E193" s="301"/>
      <c r="F193" s="301"/>
      <c r="G193" s="301"/>
      <c r="H193" s="301"/>
      <c r="I193" s="301"/>
      <c r="J193" s="301">
        <f t="shared" si="19"/>
        <v>0</v>
      </c>
      <c r="K193" s="302"/>
    </row>
    <row r="194" spans="1:11" ht="12.75">
      <c r="A194" s="299"/>
      <c r="B194" s="300"/>
      <c r="C194" s="300"/>
      <c r="D194" s="301"/>
      <c r="E194" s="301"/>
      <c r="F194" s="301"/>
      <c r="G194" s="301"/>
      <c r="H194" s="301"/>
      <c r="I194" s="301"/>
      <c r="J194" s="301">
        <f t="shared" si="19"/>
        <v>0</v>
      </c>
      <c r="K194" s="302"/>
    </row>
    <row r="195" spans="1:11" ht="12.75">
      <c r="A195" s="493" t="s">
        <v>29</v>
      </c>
      <c r="B195" s="456"/>
      <c r="C195" s="456"/>
      <c r="D195" s="456"/>
      <c r="E195" s="456"/>
      <c r="F195" s="456"/>
      <c r="G195" s="456"/>
      <c r="H195" s="456"/>
      <c r="I195" s="456"/>
      <c r="J195" s="456"/>
      <c r="K195" s="298"/>
    </row>
    <row r="196" spans="1:11" ht="12.75">
      <c r="A196" s="299">
        <v>44995</v>
      </c>
      <c r="B196" s="300"/>
      <c r="C196" s="300" t="s">
        <v>357</v>
      </c>
      <c r="D196" s="301">
        <v>-444000</v>
      </c>
      <c r="E196" s="301"/>
      <c r="F196" s="301"/>
      <c r="G196" s="301"/>
      <c r="H196" s="301"/>
      <c r="I196" s="301"/>
      <c r="J196" s="301">
        <f t="shared" ref="J196:J207" si="20">SUM(D196:I196)</f>
        <v>-444000</v>
      </c>
      <c r="K196" s="302"/>
    </row>
    <row r="197" spans="1:11" ht="12.75">
      <c r="A197" s="299"/>
      <c r="B197" s="300"/>
      <c r="C197" s="300"/>
      <c r="D197" s="301"/>
      <c r="E197" s="301"/>
      <c r="F197" s="301">
        <v>1200</v>
      </c>
      <c r="G197" s="301"/>
      <c r="H197" s="301"/>
      <c r="I197" s="301"/>
      <c r="J197" s="301">
        <f t="shared" si="20"/>
        <v>1200</v>
      </c>
      <c r="K197" s="302"/>
    </row>
    <row r="198" spans="1:11" ht="12.75">
      <c r="A198" s="299">
        <v>44995</v>
      </c>
      <c r="B198" s="300"/>
      <c r="C198" s="300"/>
      <c r="D198" s="301"/>
      <c r="E198" s="301"/>
      <c r="F198" s="301"/>
      <c r="G198" s="301"/>
      <c r="H198" s="301"/>
      <c r="I198" s="301"/>
      <c r="J198" s="301">
        <f t="shared" si="20"/>
        <v>0</v>
      </c>
      <c r="K198" s="302"/>
    </row>
    <row r="199" spans="1:11" ht="12.75">
      <c r="A199" s="299"/>
      <c r="B199" s="300"/>
      <c r="C199" s="300"/>
      <c r="D199" s="301"/>
      <c r="E199" s="301"/>
      <c r="F199" s="301"/>
      <c r="G199" s="301"/>
      <c r="H199" s="301"/>
      <c r="I199" s="301"/>
      <c r="J199" s="301">
        <f t="shared" si="20"/>
        <v>0</v>
      </c>
      <c r="K199" s="302"/>
    </row>
    <row r="200" spans="1:11" ht="12.75">
      <c r="A200" s="299"/>
      <c r="B200" s="300"/>
      <c r="C200" s="300"/>
      <c r="D200" s="301"/>
      <c r="E200" s="301"/>
      <c r="F200" s="301"/>
      <c r="G200" s="301"/>
      <c r="H200" s="301"/>
      <c r="I200" s="301"/>
      <c r="J200" s="301">
        <f t="shared" si="20"/>
        <v>0</v>
      </c>
      <c r="K200" s="302"/>
    </row>
    <row r="201" spans="1:11" ht="12.75">
      <c r="A201" s="299"/>
      <c r="B201" s="300"/>
      <c r="C201" s="300"/>
      <c r="D201" s="301"/>
      <c r="E201" s="301"/>
      <c r="F201" s="301"/>
      <c r="G201" s="301"/>
      <c r="H201" s="301"/>
      <c r="I201" s="301"/>
      <c r="J201" s="301">
        <f t="shared" si="20"/>
        <v>0</v>
      </c>
      <c r="K201" s="302"/>
    </row>
    <row r="202" spans="1:11" ht="12.75">
      <c r="A202" s="299"/>
      <c r="B202" s="300"/>
      <c r="C202" s="300"/>
      <c r="D202" s="301"/>
      <c r="E202" s="301"/>
      <c r="F202" s="301"/>
      <c r="G202" s="301"/>
      <c r="H202" s="301"/>
      <c r="I202" s="301"/>
      <c r="J202" s="301">
        <f t="shared" si="20"/>
        <v>0</v>
      </c>
      <c r="K202" s="302"/>
    </row>
    <row r="203" spans="1:11" ht="12.75">
      <c r="A203" s="299"/>
      <c r="B203" s="300"/>
      <c r="C203" s="300"/>
      <c r="D203" s="301"/>
      <c r="E203" s="301"/>
      <c r="F203" s="301"/>
      <c r="G203" s="301"/>
      <c r="H203" s="301"/>
      <c r="I203" s="301"/>
      <c r="J203" s="301">
        <f t="shared" si="20"/>
        <v>0</v>
      </c>
      <c r="K203" s="302"/>
    </row>
    <row r="204" spans="1:11" ht="12.75">
      <c r="A204" s="299"/>
      <c r="B204" s="300"/>
      <c r="C204" s="300"/>
      <c r="D204" s="301"/>
      <c r="E204" s="301"/>
      <c r="F204" s="301"/>
      <c r="G204" s="301"/>
      <c r="H204" s="301"/>
      <c r="I204" s="301"/>
      <c r="J204" s="301">
        <f t="shared" si="20"/>
        <v>0</v>
      </c>
      <c r="K204" s="302"/>
    </row>
    <row r="205" spans="1:11" ht="12.75">
      <c r="A205" s="299"/>
      <c r="B205" s="300"/>
      <c r="C205" s="300"/>
      <c r="D205" s="301"/>
      <c r="E205" s="301"/>
      <c r="F205" s="301"/>
      <c r="G205" s="301"/>
      <c r="H205" s="301"/>
      <c r="I205" s="301"/>
      <c r="J205" s="301">
        <f t="shared" si="20"/>
        <v>0</v>
      </c>
      <c r="K205" s="302"/>
    </row>
    <row r="206" spans="1:11" ht="12.75">
      <c r="A206" s="299"/>
      <c r="B206" s="300"/>
      <c r="C206" s="300"/>
      <c r="D206" s="301"/>
      <c r="E206" s="301"/>
      <c r="F206" s="301"/>
      <c r="G206" s="301"/>
      <c r="H206" s="301"/>
      <c r="I206" s="301"/>
      <c r="J206" s="301">
        <f t="shared" si="20"/>
        <v>0</v>
      </c>
      <c r="K206" s="302"/>
    </row>
    <row r="207" spans="1:11" ht="12.75">
      <c r="A207" s="299"/>
      <c r="B207" s="300"/>
      <c r="C207" s="300"/>
      <c r="D207" s="301"/>
      <c r="E207" s="301"/>
      <c r="F207" s="301"/>
      <c r="G207" s="301"/>
      <c r="H207" s="301"/>
      <c r="I207" s="301"/>
      <c r="J207" s="301">
        <f t="shared" si="20"/>
        <v>0</v>
      </c>
      <c r="K207" s="302"/>
    </row>
    <row r="208" spans="1:11" ht="12.75">
      <c r="A208" s="299"/>
      <c r="B208" s="300"/>
      <c r="C208" s="300"/>
      <c r="D208" s="301"/>
      <c r="E208" s="301"/>
      <c r="F208" s="301"/>
      <c r="G208" s="301"/>
      <c r="H208" s="301"/>
      <c r="I208" s="301"/>
      <c r="J208" s="301"/>
      <c r="K208" s="302"/>
    </row>
    <row r="209" spans="1:11" ht="12.75">
      <c r="A209" s="299"/>
      <c r="B209" s="300"/>
      <c r="C209" s="300"/>
      <c r="D209" s="301"/>
      <c r="E209" s="301"/>
      <c r="F209" s="301"/>
      <c r="G209" s="301"/>
      <c r="H209" s="301"/>
      <c r="I209" s="301"/>
      <c r="J209" s="301">
        <f t="shared" ref="J209:J213" si="21">SUM(D209:I209)</f>
        <v>0</v>
      </c>
      <c r="K209" s="302"/>
    </row>
    <row r="210" spans="1:11" ht="12.75">
      <c r="A210" s="299"/>
      <c r="B210" s="300"/>
      <c r="C210" s="300"/>
      <c r="D210" s="301"/>
      <c r="E210" s="301"/>
      <c r="F210" s="301"/>
      <c r="G210" s="301"/>
      <c r="H210" s="301"/>
      <c r="I210" s="301"/>
      <c r="J210" s="301">
        <f t="shared" si="21"/>
        <v>0</v>
      </c>
      <c r="K210" s="302"/>
    </row>
    <row r="211" spans="1:11" ht="12.75">
      <c r="A211" s="299"/>
      <c r="B211" s="300"/>
      <c r="C211" s="300"/>
      <c r="D211" s="301"/>
      <c r="E211" s="301"/>
      <c r="F211" s="301"/>
      <c r="G211" s="301"/>
      <c r="H211" s="301"/>
      <c r="I211" s="301"/>
      <c r="J211" s="301">
        <f t="shared" si="21"/>
        <v>0</v>
      </c>
      <c r="K211" s="302"/>
    </row>
    <row r="212" spans="1:11" ht="12.75">
      <c r="A212" s="299"/>
      <c r="B212" s="300"/>
      <c r="C212" s="300"/>
      <c r="D212" s="301"/>
      <c r="E212" s="301"/>
      <c r="F212" s="301"/>
      <c r="G212" s="301"/>
      <c r="H212" s="301"/>
      <c r="I212" s="301"/>
      <c r="J212" s="301">
        <f t="shared" si="21"/>
        <v>0</v>
      </c>
      <c r="K212" s="302"/>
    </row>
    <row r="213" spans="1:11" ht="12.75">
      <c r="A213" s="299"/>
      <c r="B213" s="300"/>
      <c r="C213" s="300"/>
      <c r="D213" s="301"/>
      <c r="E213" s="301"/>
      <c r="F213" s="301"/>
      <c r="G213" s="301"/>
      <c r="H213" s="301"/>
      <c r="I213" s="301"/>
      <c r="J213" s="301">
        <f t="shared" si="21"/>
        <v>0</v>
      </c>
      <c r="K213" s="302"/>
    </row>
    <row r="214" spans="1:11" ht="12.75">
      <c r="A214" s="493" t="s">
        <v>30</v>
      </c>
      <c r="B214" s="456"/>
      <c r="C214" s="456"/>
      <c r="D214" s="456"/>
      <c r="E214" s="456"/>
      <c r="F214" s="456"/>
      <c r="G214" s="456"/>
      <c r="H214" s="456"/>
      <c r="I214" s="456"/>
      <c r="J214" s="456"/>
      <c r="K214" s="298"/>
    </row>
    <row r="215" spans="1:11" ht="12.75">
      <c r="A215" s="299"/>
      <c r="B215" s="300"/>
      <c r="C215" s="300"/>
      <c r="D215" s="301"/>
      <c r="E215" s="301"/>
      <c r="F215" s="301"/>
      <c r="G215" s="301"/>
      <c r="H215" s="301"/>
      <c r="I215" s="301"/>
      <c r="J215" s="301">
        <f t="shared" ref="J215:J226" si="22">SUM(D215:I215)</f>
        <v>0</v>
      </c>
      <c r="K215" s="302"/>
    </row>
    <row r="216" spans="1:11" ht="12.75">
      <c r="A216" s="299"/>
      <c r="B216" s="300"/>
      <c r="C216" s="300"/>
      <c r="D216" s="301"/>
      <c r="E216" s="301"/>
      <c r="F216" s="301"/>
      <c r="G216" s="301"/>
      <c r="H216" s="301"/>
      <c r="I216" s="301"/>
      <c r="J216" s="301">
        <f t="shared" si="22"/>
        <v>0</v>
      </c>
      <c r="K216" s="302"/>
    </row>
    <row r="217" spans="1:11" ht="12.75">
      <c r="A217" s="299"/>
      <c r="B217" s="300"/>
      <c r="C217" s="300"/>
      <c r="D217" s="301"/>
      <c r="E217" s="301"/>
      <c r="F217" s="301"/>
      <c r="G217" s="301"/>
      <c r="H217" s="301"/>
      <c r="I217" s="301"/>
      <c r="J217" s="301">
        <f t="shared" si="22"/>
        <v>0</v>
      </c>
      <c r="K217" s="302"/>
    </row>
    <row r="218" spans="1:11" ht="12.75">
      <c r="A218" s="299"/>
      <c r="B218" s="300"/>
      <c r="C218" s="300"/>
      <c r="D218" s="301"/>
      <c r="E218" s="301"/>
      <c r="F218" s="301"/>
      <c r="G218" s="301"/>
      <c r="H218" s="301"/>
      <c r="I218" s="301"/>
      <c r="J218" s="301">
        <f t="shared" si="22"/>
        <v>0</v>
      </c>
      <c r="K218" s="302"/>
    </row>
    <row r="219" spans="1:11" ht="12.75">
      <c r="A219" s="299"/>
      <c r="B219" s="300"/>
      <c r="C219" s="300"/>
      <c r="D219" s="301"/>
      <c r="E219" s="301"/>
      <c r="F219" s="301"/>
      <c r="G219" s="301"/>
      <c r="H219" s="301"/>
      <c r="I219" s="301"/>
      <c r="J219" s="301">
        <f t="shared" si="22"/>
        <v>0</v>
      </c>
      <c r="K219" s="302"/>
    </row>
    <row r="220" spans="1:11" ht="12.75">
      <c r="A220" s="299"/>
      <c r="B220" s="300"/>
      <c r="C220" s="300"/>
      <c r="D220" s="301"/>
      <c r="E220" s="301"/>
      <c r="F220" s="301"/>
      <c r="G220" s="301"/>
      <c r="H220" s="301"/>
      <c r="I220" s="301"/>
      <c r="J220" s="301">
        <f t="shared" si="22"/>
        <v>0</v>
      </c>
      <c r="K220" s="302"/>
    </row>
    <row r="221" spans="1:11" ht="12.75">
      <c r="A221" s="299"/>
      <c r="B221" s="300"/>
      <c r="C221" s="300"/>
      <c r="D221" s="301"/>
      <c r="E221" s="301"/>
      <c r="F221" s="301"/>
      <c r="G221" s="301"/>
      <c r="H221" s="301"/>
      <c r="I221" s="301"/>
      <c r="J221" s="301">
        <f t="shared" si="22"/>
        <v>0</v>
      </c>
      <c r="K221" s="302"/>
    </row>
    <row r="222" spans="1:11" ht="12.75">
      <c r="A222" s="299"/>
      <c r="B222" s="300"/>
      <c r="C222" s="300"/>
      <c r="D222" s="301"/>
      <c r="E222" s="301"/>
      <c r="F222" s="301"/>
      <c r="G222" s="301"/>
      <c r="H222" s="301"/>
      <c r="I222" s="301"/>
      <c r="J222" s="301">
        <f t="shared" si="22"/>
        <v>0</v>
      </c>
      <c r="K222" s="302"/>
    </row>
    <row r="223" spans="1:11" ht="12.75">
      <c r="A223" s="299"/>
      <c r="B223" s="300"/>
      <c r="C223" s="300"/>
      <c r="D223" s="301"/>
      <c r="E223" s="301"/>
      <c r="F223" s="301"/>
      <c r="G223" s="301"/>
      <c r="H223" s="301"/>
      <c r="I223" s="301"/>
      <c r="J223" s="301">
        <f t="shared" si="22"/>
        <v>0</v>
      </c>
      <c r="K223" s="302"/>
    </row>
    <row r="224" spans="1:11" ht="12.75">
      <c r="A224" s="299"/>
      <c r="B224" s="300"/>
      <c r="C224" s="300"/>
      <c r="D224" s="301"/>
      <c r="E224" s="301"/>
      <c r="F224" s="301"/>
      <c r="G224" s="301"/>
      <c r="H224" s="301"/>
      <c r="I224" s="301"/>
      <c r="J224" s="301">
        <f t="shared" si="22"/>
        <v>0</v>
      </c>
      <c r="K224" s="302"/>
    </row>
    <row r="225" spans="1:11" ht="12.75">
      <c r="A225" s="299"/>
      <c r="B225" s="300"/>
      <c r="C225" s="300"/>
      <c r="D225" s="301"/>
      <c r="E225" s="301"/>
      <c r="F225" s="301"/>
      <c r="G225" s="301"/>
      <c r="H225" s="301"/>
      <c r="I225" s="301"/>
      <c r="J225" s="301">
        <f t="shared" si="22"/>
        <v>0</v>
      </c>
      <c r="K225" s="302"/>
    </row>
    <row r="226" spans="1:11" ht="12.75">
      <c r="A226" s="299"/>
      <c r="B226" s="300"/>
      <c r="C226" s="300"/>
      <c r="D226" s="301"/>
      <c r="E226" s="301"/>
      <c r="F226" s="301"/>
      <c r="G226" s="301"/>
      <c r="H226" s="301"/>
      <c r="I226" s="301"/>
      <c r="J226" s="301">
        <f t="shared" si="22"/>
        <v>0</v>
      </c>
      <c r="K226" s="302"/>
    </row>
    <row r="227" spans="1:11" ht="12.75">
      <c r="A227" s="299"/>
      <c r="B227" s="300"/>
      <c r="C227" s="300"/>
      <c r="D227" s="301"/>
      <c r="E227" s="301"/>
      <c r="F227" s="301"/>
      <c r="G227" s="301"/>
      <c r="H227" s="301"/>
      <c r="I227" s="301"/>
      <c r="J227" s="301"/>
      <c r="K227" s="302"/>
    </row>
    <row r="228" spans="1:11" ht="12.75">
      <c r="A228" s="299"/>
      <c r="B228" s="300"/>
      <c r="C228" s="300"/>
      <c r="D228" s="301"/>
      <c r="E228" s="301"/>
      <c r="F228" s="301"/>
      <c r="G228" s="301"/>
      <c r="H228" s="301"/>
      <c r="I228" s="301"/>
      <c r="J228" s="301">
        <f t="shared" ref="J228:J232" si="23">SUM(D228:I228)</f>
        <v>0</v>
      </c>
      <c r="K228" s="302"/>
    </row>
    <row r="229" spans="1:11" ht="12.75">
      <c r="A229" s="299"/>
      <c r="B229" s="300"/>
      <c r="C229" s="300"/>
      <c r="D229" s="301"/>
      <c r="E229" s="301"/>
      <c r="F229" s="301"/>
      <c r="G229" s="301"/>
      <c r="H229" s="301"/>
      <c r="I229" s="301"/>
      <c r="J229" s="301">
        <f t="shared" si="23"/>
        <v>0</v>
      </c>
      <c r="K229" s="302"/>
    </row>
    <row r="230" spans="1:11" ht="12.75">
      <c r="A230" s="299"/>
      <c r="B230" s="300"/>
      <c r="C230" s="300"/>
      <c r="D230" s="301"/>
      <c r="E230" s="301"/>
      <c r="F230" s="301"/>
      <c r="G230" s="301"/>
      <c r="H230" s="301"/>
      <c r="I230" s="301"/>
      <c r="J230" s="301">
        <f t="shared" si="23"/>
        <v>0</v>
      </c>
      <c r="K230" s="302"/>
    </row>
    <row r="231" spans="1:11" ht="12.75">
      <c r="A231" s="299"/>
      <c r="B231" s="300"/>
      <c r="C231" s="300"/>
      <c r="D231" s="301"/>
      <c r="E231" s="301"/>
      <c r="F231" s="301"/>
      <c r="G231" s="301"/>
      <c r="H231" s="301"/>
      <c r="I231" s="301"/>
      <c r="J231" s="301">
        <f t="shared" si="23"/>
        <v>0</v>
      </c>
      <c r="K231" s="302"/>
    </row>
    <row r="232" spans="1:11" ht="12.75">
      <c r="A232" s="299"/>
      <c r="B232" s="300"/>
      <c r="C232" s="300"/>
      <c r="D232" s="301"/>
      <c r="E232" s="301"/>
      <c r="F232" s="301"/>
      <c r="G232" s="301"/>
      <c r="H232" s="301"/>
      <c r="I232" s="301"/>
      <c r="J232" s="301">
        <f t="shared" si="23"/>
        <v>0</v>
      </c>
      <c r="K232" s="302"/>
    </row>
  </sheetData>
  <mergeCells count="14">
    <mergeCell ref="A195:J195"/>
    <mergeCell ref="A214:J214"/>
    <mergeCell ref="D2:E2"/>
    <mergeCell ref="F2:G2"/>
    <mergeCell ref="A5:J5"/>
    <mergeCell ref="A24:J24"/>
    <mergeCell ref="A43:J43"/>
    <mergeCell ref="A62:J62"/>
    <mergeCell ref="A81:J81"/>
    <mergeCell ref="A100:J100"/>
    <mergeCell ref="A119:J119"/>
    <mergeCell ref="A138:J138"/>
    <mergeCell ref="A157:J157"/>
    <mergeCell ref="A176:J176"/>
  </mergeCells>
  <conditionalFormatting sqref="K6:K23 K25:K42 B44:B48 K44:K61 K63:K80 B64:B68 K82:K99 K101:K118 B120:B125 K126:K137 K139:K156 K158:K175 K177:K194 K196:K213 K215:K232">
    <cfRule type="cellIs" dxfId="15" priority="1" operator="greaterThanOrEqual">
      <formula>0</formula>
    </cfRule>
  </conditionalFormatting>
  <conditionalFormatting sqref="K6:K23 K25:K42 B44:B48 K44:K61 K63:K80 B64:B68 K82:K99 K101:K118 B120:B125 K126:K137 K139:K156 K158:K175 K177:K194 K196:K213 K215:K232">
    <cfRule type="cellIs" dxfId="14" priority="2" operator="lessThan">
      <formula>0</formula>
    </cfRule>
  </conditionalFormatting>
  <conditionalFormatting sqref="G4:H4 I63:I80 I82:I99 I101:I118 I120:I137 I139:I156">
    <cfRule type="cellIs" dxfId="13" priority="3" operator="equal">
      <formula>0</formula>
    </cfRule>
  </conditionalFormatting>
  <conditionalFormatting sqref="D4:J4 K6:K23 K25:K42 B44:B48 K44:K61 J63:K80 B64:B68 J82:K99 J101:K118 B120:B125 J120:J137 K126:K137 J139:K156 K158:K175 K177:K194 K196:K213 K215:K232">
    <cfRule type="cellIs" dxfId="12" priority="4" operator="equal">
      <formula>0</formula>
    </cfRule>
  </conditionalFormatting>
  <conditionalFormatting sqref="D6:J23 D25:J42 D44:J61 D63:J80 D82:J99 D101:J118 D120:J137 D139:J156 D158:J175 D177:J194 D196:J213 D215:J232">
    <cfRule type="cellIs" dxfId="11" priority="5" operator="equal">
      <formula>0</formula>
    </cfRule>
  </conditionalFormatting>
  <printOptions horizontalCentered="1" gridLines="1"/>
  <pageMargins left="0.19685039370078738" right="0.19685039370078738" top="0.19685039370078738" bottom="0.19685039370078738" header="0" footer="0"/>
  <pageSetup paperSize="9" fitToWidth="0" pageOrder="overThenDown" orientation="portrait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AA883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5703125" defaultRowHeight="15.75" customHeight="1"/>
  <cols>
    <col min="1" max="1" width="9.85546875" customWidth="1"/>
    <col min="2" max="2" width="38.42578125" customWidth="1"/>
    <col min="3" max="3" width="14.7109375" customWidth="1"/>
    <col min="4" max="4" width="14.140625" customWidth="1"/>
    <col min="5" max="5" width="14.85546875" customWidth="1"/>
    <col min="7" max="7" width="13.42578125" customWidth="1"/>
    <col min="8" max="8" width="13.28515625" customWidth="1"/>
    <col min="9" max="9" width="7.42578125" customWidth="1"/>
    <col min="11" max="11" width="36" customWidth="1"/>
    <col min="14" max="14" width="14.85546875" customWidth="1"/>
    <col min="15" max="15" width="15.85546875" customWidth="1"/>
    <col min="17" max="17" width="13.28515625" customWidth="1"/>
  </cols>
  <sheetData>
    <row r="1" spans="1:17">
      <c r="A1" s="497" t="s">
        <v>358</v>
      </c>
      <c r="B1" s="456"/>
      <c r="C1" s="456"/>
      <c r="D1" s="456"/>
      <c r="E1" s="456"/>
      <c r="F1" s="456"/>
      <c r="G1" s="456"/>
      <c r="H1" s="214"/>
      <c r="I1" s="214"/>
      <c r="J1" s="487" t="s">
        <v>359</v>
      </c>
      <c r="K1" s="456"/>
      <c r="L1" s="456"/>
      <c r="M1" s="456"/>
      <c r="N1" s="456"/>
      <c r="O1" s="456"/>
      <c r="P1" s="456"/>
    </row>
    <row r="2" spans="1:17">
      <c r="A2" s="215"/>
      <c r="B2" s="214"/>
      <c r="C2" s="220"/>
      <c r="D2" s="220"/>
      <c r="E2" s="216"/>
      <c r="F2" s="221"/>
      <c r="G2" s="221"/>
      <c r="H2" s="191"/>
      <c r="I2" s="191"/>
      <c r="J2" s="191"/>
      <c r="K2" s="191"/>
      <c r="L2" s="221"/>
      <c r="M2" s="221"/>
      <c r="N2" s="221"/>
      <c r="O2" s="221"/>
      <c r="P2" s="221"/>
    </row>
    <row r="3" spans="1:17">
      <c r="A3" s="215" t="s">
        <v>360</v>
      </c>
      <c r="B3" s="214" t="s">
        <v>67</v>
      </c>
      <c r="C3" s="220" t="s">
        <v>56</v>
      </c>
      <c r="D3" s="220" t="s">
        <v>160</v>
      </c>
      <c r="E3" s="216" t="s">
        <v>161</v>
      </c>
      <c r="F3" s="220" t="s">
        <v>162</v>
      </c>
      <c r="G3" s="220" t="s">
        <v>163</v>
      </c>
      <c r="H3" s="214"/>
      <c r="I3" s="215"/>
      <c r="J3" s="215" t="s">
        <v>360</v>
      </c>
      <c r="K3" s="214" t="s">
        <v>67</v>
      </c>
      <c r="L3" s="220" t="s">
        <v>56</v>
      </c>
      <c r="M3" s="220" t="s">
        <v>160</v>
      </c>
      <c r="N3" s="220" t="s">
        <v>161</v>
      </c>
      <c r="O3" s="220" t="s">
        <v>361</v>
      </c>
      <c r="P3" s="220" t="s">
        <v>163</v>
      </c>
    </row>
    <row r="4" spans="1:17" ht="15.75" customHeight="1">
      <c r="A4" s="217"/>
      <c r="B4" s="218"/>
      <c r="C4" s="311">
        <f t="shared" ref="C4:G4" si="0">SUM(C6:C883)</f>
        <v>927776.2</v>
      </c>
      <c r="D4" s="311">
        <f t="shared" si="0"/>
        <v>166926</v>
      </c>
      <c r="E4" s="311">
        <f t="shared" si="0"/>
        <v>243269.39</v>
      </c>
      <c r="F4" s="311">
        <f t="shared" si="0"/>
        <v>0</v>
      </c>
      <c r="G4" s="312">
        <f t="shared" si="0"/>
        <v>1337971.5899999999</v>
      </c>
      <c r="H4" s="115" t="s">
        <v>186</v>
      </c>
      <c r="I4" s="221"/>
      <c r="J4" s="221"/>
      <c r="K4" s="221"/>
      <c r="L4" s="311">
        <f t="shared" ref="L4:P4" si="1">SUM(L6:L883)</f>
        <v>1365772.53</v>
      </c>
      <c r="M4" s="311">
        <f t="shared" si="1"/>
        <v>4500</v>
      </c>
      <c r="N4" s="311">
        <f t="shared" si="1"/>
        <v>250400</v>
      </c>
      <c r="O4" s="311">
        <f t="shared" si="1"/>
        <v>1056000</v>
      </c>
      <c r="P4" s="312">
        <f t="shared" si="1"/>
        <v>1464246.53</v>
      </c>
      <c r="Q4" s="115" t="s">
        <v>186</v>
      </c>
    </row>
    <row r="5" spans="1:17" ht="15">
      <c r="A5" s="217">
        <v>44681</v>
      </c>
      <c r="B5" s="218" t="s">
        <v>362</v>
      </c>
      <c r="C5" s="221">
        <v>3500</v>
      </c>
      <c r="D5" s="221"/>
      <c r="E5" s="231"/>
      <c r="F5" s="221"/>
      <c r="G5" s="221">
        <f t="shared" ref="G5:G81" si="2">SUM(C5:F5)</f>
        <v>3500</v>
      </c>
      <c r="H5" s="218">
        <v>180958</v>
      </c>
      <c r="I5" s="217"/>
      <c r="J5" s="217"/>
      <c r="K5" s="218"/>
      <c r="L5" s="221"/>
      <c r="M5" s="221"/>
      <c r="N5" s="221"/>
      <c r="O5" s="221"/>
      <c r="P5" s="221"/>
      <c r="Q5" s="218"/>
    </row>
    <row r="6" spans="1:17" ht="15">
      <c r="A6" s="262">
        <v>44690</v>
      </c>
      <c r="B6" s="263" t="s">
        <v>363</v>
      </c>
      <c r="C6" s="313">
        <v>0</v>
      </c>
      <c r="D6" s="313">
        <v>0</v>
      </c>
      <c r="E6" s="314">
        <v>83</v>
      </c>
      <c r="F6" s="313">
        <v>0</v>
      </c>
      <c r="G6" s="313">
        <f t="shared" si="2"/>
        <v>83</v>
      </c>
      <c r="H6" s="263">
        <v>21966927055</v>
      </c>
      <c r="I6" s="217"/>
      <c r="J6" s="217">
        <v>44728</v>
      </c>
      <c r="K6" s="218" t="s">
        <v>364</v>
      </c>
      <c r="L6" s="221">
        <v>4200</v>
      </c>
      <c r="M6" s="221">
        <v>0</v>
      </c>
      <c r="N6" s="221">
        <v>0</v>
      </c>
      <c r="O6" s="221">
        <v>0</v>
      </c>
      <c r="P6" s="221">
        <f t="shared" ref="P6:P10" si="3">SUM(L6:O6)</f>
        <v>4200</v>
      </c>
      <c r="Q6" s="218">
        <v>23233632651</v>
      </c>
    </row>
    <row r="7" spans="1:17" ht="15">
      <c r="A7" s="217">
        <v>44713</v>
      </c>
      <c r="B7" s="218" t="s">
        <v>365</v>
      </c>
      <c r="C7" s="221">
        <v>4500</v>
      </c>
      <c r="D7" s="221">
        <v>0</v>
      </c>
      <c r="E7" s="223">
        <v>0</v>
      </c>
      <c r="F7" s="221">
        <v>0</v>
      </c>
      <c r="G7" s="221">
        <f t="shared" si="2"/>
        <v>4500</v>
      </c>
      <c r="H7" s="218"/>
      <c r="I7" s="217"/>
      <c r="J7" s="217">
        <v>44735</v>
      </c>
      <c r="K7" s="218" t="s">
        <v>366</v>
      </c>
      <c r="L7" s="221">
        <v>0</v>
      </c>
      <c r="M7" s="221">
        <v>0</v>
      </c>
      <c r="N7" s="221">
        <v>6000</v>
      </c>
      <c r="O7" s="221">
        <v>0</v>
      </c>
      <c r="P7" s="221">
        <f t="shared" si="3"/>
        <v>6000</v>
      </c>
      <c r="Q7" s="58">
        <v>23415771398</v>
      </c>
    </row>
    <row r="8" spans="1:17" ht="15">
      <c r="A8" s="217">
        <v>44728</v>
      </c>
      <c r="B8" s="218" t="s">
        <v>364</v>
      </c>
      <c r="C8" s="221">
        <v>0</v>
      </c>
      <c r="D8" s="221">
        <v>0</v>
      </c>
      <c r="E8" s="231">
        <v>4200</v>
      </c>
      <c r="F8" s="221">
        <v>0</v>
      </c>
      <c r="G8" s="221">
        <f t="shared" si="2"/>
        <v>4200</v>
      </c>
      <c r="H8" s="218">
        <v>23233632651</v>
      </c>
      <c r="I8" s="217"/>
      <c r="J8" s="217">
        <v>44737</v>
      </c>
      <c r="K8" s="218" t="s">
        <v>367</v>
      </c>
      <c r="L8" s="221">
        <v>0</v>
      </c>
      <c r="M8" s="221">
        <v>0</v>
      </c>
      <c r="N8" s="221">
        <v>1000</v>
      </c>
      <c r="O8" s="221">
        <v>0</v>
      </c>
      <c r="P8" s="221">
        <f t="shared" si="3"/>
        <v>1000</v>
      </c>
      <c r="Q8" s="218">
        <v>23469471803</v>
      </c>
    </row>
    <row r="9" spans="1:17" ht="15">
      <c r="A9" s="262">
        <v>44735</v>
      </c>
      <c r="B9" s="263" t="s">
        <v>366</v>
      </c>
      <c r="C9" s="313">
        <v>0</v>
      </c>
      <c r="D9" s="313">
        <v>6000</v>
      </c>
      <c r="E9" s="315">
        <v>0</v>
      </c>
      <c r="F9" s="313">
        <v>0</v>
      </c>
      <c r="G9" s="313">
        <f t="shared" si="2"/>
        <v>6000</v>
      </c>
      <c r="H9" s="266">
        <v>23415771398</v>
      </c>
      <c r="I9" s="316"/>
      <c r="J9" s="217">
        <v>44747</v>
      </c>
      <c r="K9" s="218" t="s">
        <v>368</v>
      </c>
      <c r="L9" s="221">
        <v>600</v>
      </c>
      <c r="M9" s="221">
        <v>0</v>
      </c>
      <c r="N9" s="221">
        <v>0</v>
      </c>
      <c r="O9" s="221">
        <v>0</v>
      </c>
      <c r="P9" s="221">
        <f t="shared" si="3"/>
        <v>600</v>
      </c>
      <c r="Q9" s="218">
        <v>23749199946</v>
      </c>
    </row>
    <row r="10" spans="1:17" ht="15">
      <c r="A10" s="217">
        <v>44737</v>
      </c>
      <c r="B10" s="218" t="s">
        <v>369</v>
      </c>
      <c r="C10" s="221">
        <v>0</v>
      </c>
      <c r="D10" s="221">
        <v>1000</v>
      </c>
      <c r="E10" s="223">
        <v>0</v>
      </c>
      <c r="F10" s="221">
        <v>0</v>
      </c>
      <c r="G10" s="221">
        <f t="shared" si="2"/>
        <v>1000</v>
      </c>
      <c r="H10" s="218">
        <v>23469471803</v>
      </c>
      <c r="I10" s="217"/>
      <c r="J10" s="217">
        <v>44751</v>
      </c>
      <c r="K10" s="218" t="s">
        <v>370</v>
      </c>
      <c r="L10" s="221">
        <v>0</v>
      </c>
      <c r="M10" s="221">
        <v>0</v>
      </c>
      <c r="N10" s="221">
        <v>400</v>
      </c>
      <c r="O10" s="221">
        <v>0</v>
      </c>
      <c r="P10" s="221">
        <f t="shared" si="3"/>
        <v>400</v>
      </c>
    </row>
    <row r="11" spans="1:17" ht="15">
      <c r="A11" s="217">
        <v>44747</v>
      </c>
      <c r="B11" s="218" t="s">
        <v>368</v>
      </c>
      <c r="C11" s="221">
        <v>0</v>
      </c>
      <c r="D11" s="221">
        <v>0</v>
      </c>
      <c r="E11" s="231">
        <v>600</v>
      </c>
      <c r="F11" s="221">
        <v>0</v>
      </c>
      <c r="G11" s="221">
        <f t="shared" si="2"/>
        <v>600</v>
      </c>
      <c r="H11" s="218">
        <v>23749199946</v>
      </c>
      <c r="I11" s="217"/>
      <c r="J11" s="217">
        <v>44762</v>
      </c>
      <c r="K11" s="218" t="s">
        <v>371</v>
      </c>
      <c r="L11" s="221">
        <v>10000</v>
      </c>
      <c r="M11" s="221">
        <v>0</v>
      </c>
      <c r="N11" s="221">
        <v>0</v>
      </c>
      <c r="O11" s="221">
        <v>0</v>
      </c>
      <c r="P11" s="221">
        <f>SUM(M11:O11)</f>
        <v>0</v>
      </c>
      <c r="Q11" s="218">
        <v>24158134964</v>
      </c>
    </row>
    <row r="12" spans="1:17" ht="15">
      <c r="A12" s="217">
        <v>44759</v>
      </c>
      <c r="B12" s="218" t="s">
        <v>372</v>
      </c>
      <c r="C12" s="221">
        <v>0</v>
      </c>
      <c r="D12" s="221">
        <v>10000</v>
      </c>
      <c r="E12" s="223">
        <v>0</v>
      </c>
      <c r="F12" s="221">
        <v>0</v>
      </c>
      <c r="G12" s="221">
        <f t="shared" si="2"/>
        <v>10000</v>
      </c>
      <c r="H12" s="218"/>
      <c r="I12" s="217"/>
      <c r="J12" s="217">
        <v>44763</v>
      </c>
      <c r="K12" s="218" t="s">
        <v>373</v>
      </c>
      <c r="L12" s="221">
        <v>600000</v>
      </c>
      <c r="M12" s="221">
        <v>0</v>
      </c>
      <c r="N12" s="221">
        <v>0</v>
      </c>
      <c r="O12" s="221">
        <v>600000</v>
      </c>
      <c r="P12" s="221">
        <f t="shared" ref="P12:P17" si="4">SUM(L12:O12)</f>
        <v>1200000</v>
      </c>
    </row>
    <row r="13" spans="1:17" ht="15">
      <c r="A13" s="217">
        <v>44761</v>
      </c>
      <c r="B13" s="218" t="s">
        <v>374</v>
      </c>
      <c r="C13" s="221">
        <v>23696.2</v>
      </c>
      <c r="D13" s="221">
        <v>0</v>
      </c>
      <c r="E13" s="223">
        <v>0</v>
      </c>
      <c r="F13" s="221"/>
      <c r="G13" s="221">
        <f t="shared" si="2"/>
        <v>23696.2</v>
      </c>
      <c r="H13" s="218"/>
      <c r="I13" s="217"/>
      <c r="J13" s="217">
        <v>44763</v>
      </c>
      <c r="K13" s="218" t="s">
        <v>375</v>
      </c>
      <c r="L13" s="231">
        <f>500*338</f>
        <v>169000</v>
      </c>
      <c r="M13" s="221">
        <v>0</v>
      </c>
      <c r="N13" s="221">
        <v>0</v>
      </c>
      <c r="O13" s="221">
        <v>0</v>
      </c>
      <c r="P13" s="221">
        <f t="shared" si="4"/>
        <v>169000</v>
      </c>
    </row>
    <row r="14" spans="1:17" ht="15">
      <c r="A14" s="217">
        <v>44762</v>
      </c>
      <c r="B14" s="218" t="s">
        <v>371</v>
      </c>
      <c r="C14" s="221">
        <v>0</v>
      </c>
      <c r="D14" s="221">
        <v>0</v>
      </c>
      <c r="E14" s="231">
        <v>10000</v>
      </c>
      <c r="F14" s="221">
        <v>0</v>
      </c>
      <c r="G14" s="221">
        <f t="shared" si="2"/>
        <v>10000</v>
      </c>
      <c r="H14" s="218">
        <v>24158134964</v>
      </c>
      <c r="I14" s="217"/>
      <c r="J14" s="217">
        <v>44768</v>
      </c>
      <c r="K14" s="218" t="s">
        <v>376</v>
      </c>
      <c r="L14" s="221">
        <v>12000</v>
      </c>
      <c r="M14" s="221">
        <v>0</v>
      </c>
      <c r="N14" s="221">
        <v>0</v>
      </c>
      <c r="O14" s="221">
        <v>0</v>
      </c>
      <c r="P14" s="221">
        <f t="shared" si="4"/>
        <v>12000</v>
      </c>
      <c r="Q14" s="218">
        <v>24318652401</v>
      </c>
    </row>
    <row r="15" spans="1:17" ht="15">
      <c r="A15" s="217">
        <v>44764</v>
      </c>
      <c r="B15" s="218" t="s">
        <v>377</v>
      </c>
      <c r="C15" s="223">
        <v>7000</v>
      </c>
      <c r="D15" s="221">
        <v>0</v>
      </c>
      <c r="E15" s="223">
        <v>0</v>
      </c>
      <c r="F15" s="221">
        <v>0</v>
      </c>
      <c r="G15" s="221">
        <f t="shared" si="2"/>
        <v>7000</v>
      </c>
      <c r="H15" s="218"/>
      <c r="I15" s="217"/>
      <c r="J15" s="217">
        <v>44770</v>
      </c>
      <c r="K15" s="218" t="s">
        <v>378</v>
      </c>
      <c r="L15" s="221">
        <v>349</v>
      </c>
      <c r="M15" s="221">
        <v>0</v>
      </c>
      <c r="N15" s="221">
        <v>0</v>
      </c>
      <c r="O15" s="221">
        <v>0</v>
      </c>
      <c r="P15" s="221">
        <f t="shared" si="4"/>
        <v>349</v>
      </c>
    </row>
    <row r="16" spans="1:17" ht="15">
      <c r="A16" s="227">
        <v>44764</v>
      </c>
      <c r="B16" s="228" t="s">
        <v>379</v>
      </c>
      <c r="C16" s="223">
        <v>152000</v>
      </c>
      <c r="D16" s="223">
        <v>0</v>
      </c>
      <c r="E16" s="223">
        <v>0</v>
      </c>
      <c r="F16" s="223">
        <v>0</v>
      </c>
      <c r="G16" s="223">
        <f t="shared" si="2"/>
        <v>152000</v>
      </c>
      <c r="H16" s="228"/>
      <c r="I16" s="217"/>
      <c r="J16" s="217">
        <v>44789</v>
      </c>
      <c r="K16" s="218" t="s">
        <v>380</v>
      </c>
      <c r="L16" s="221">
        <v>4847.53</v>
      </c>
      <c r="M16" s="221">
        <v>0</v>
      </c>
      <c r="N16" s="221">
        <v>0</v>
      </c>
      <c r="O16" s="221">
        <v>0</v>
      </c>
      <c r="P16" s="221">
        <f t="shared" si="4"/>
        <v>4847.53</v>
      </c>
      <c r="Q16" s="218">
        <v>24949644825</v>
      </c>
    </row>
    <row r="17" spans="1:27" ht="15">
      <c r="A17" s="227">
        <v>44764</v>
      </c>
      <c r="B17" s="228" t="s">
        <v>381</v>
      </c>
      <c r="C17" s="223">
        <v>8000</v>
      </c>
      <c r="D17" s="223">
        <v>0</v>
      </c>
      <c r="E17" s="223">
        <v>0</v>
      </c>
      <c r="F17" s="223">
        <v>0</v>
      </c>
      <c r="G17" s="223">
        <f t="shared" si="2"/>
        <v>8000</v>
      </c>
      <c r="H17" s="228"/>
      <c r="I17" s="217"/>
      <c r="J17" s="217">
        <v>44791</v>
      </c>
      <c r="K17" s="218" t="s">
        <v>382</v>
      </c>
      <c r="L17" s="221">
        <v>700</v>
      </c>
      <c r="M17" s="221">
        <v>0</v>
      </c>
      <c r="N17" s="221">
        <v>0</v>
      </c>
      <c r="O17" s="221">
        <v>0</v>
      </c>
      <c r="P17" s="221">
        <f t="shared" si="4"/>
        <v>700</v>
      </c>
      <c r="Q17" s="218">
        <v>24996567168</v>
      </c>
    </row>
    <row r="18" spans="1:27" ht="15">
      <c r="A18" s="217">
        <v>44765</v>
      </c>
      <c r="B18" s="218" t="s">
        <v>383</v>
      </c>
      <c r="C18" s="221">
        <v>8640</v>
      </c>
      <c r="D18" s="221"/>
      <c r="E18" s="223"/>
      <c r="F18" s="221">
        <v>0</v>
      </c>
      <c r="G18" s="221">
        <f t="shared" si="2"/>
        <v>8640</v>
      </c>
      <c r="H18" s="218"/>
      <c r="I18" s="217"/>
      <c r="J18" s="317"/>
      <c r="K18" s="318"/>
      <c r="L18" s="319"/>
      <c r="M18" s="319"/>
      <c r="N18" s="319"/>
      <c r="O18" s="319"/>
      <c r="P18" s="319"/>
      <c r="Q18" s="320"/>
    </row>
    <row r="19" spans="1:27" ht="15">
      <c r="A19" s="262">
        <v>44765</v>
      </c>
      <c r="B19" s="263" t="s">
        <v>384</v>
      </c>
      <c r="C19" s="313">
        <v>5900</v>
      </c>
      <c r="D19" s="313">
        <v>0</v>
      </c>
      <c r="E19" s="315">
        <v>0</v>
      </c>
      <c r="F19" s="313">
        <v>0</v>
      </c>
      <c r="G19" s="313">
        <f t="shared" si="2"/>
        <v>5900</v>
      </c>
      <c r="H19" s="263"/>
      <c r="I19" s="217"/>
      <c r="J19" s="317">
        <v>44816</v>
      </c>
      <c r="K19" s="318" t="s">
        <v>385</v>
      </c>
      <c r="L19" s="319">
        <v>7650</v>
      </c>
      <c r="M19" s="319">
        <v>0</v>
      </c>
      <c r="N19" s="319">
        <v>0</v>
      </c>
      <c r="O19" s="319">
        <v>0</v>
      </c>
      <c r="P19" s="319">
        <f t="shared" ref="P19:P30" si="5">SUM(L19:O19)</f>
        <v>7650</v>
      </c>
      <c r="Q19" s="320"/>
    </row>
    <row r="20" spans="1:27" ht="15">
      <c r="A20" s="217">
        <v>44768</v>
      </c>
      <c r="B20" s="218" t="s">
        <v>376</v>
      </c>
      <c r="C20" s="221">
        <v>0</v>
      </c>
      <c r="D20" s="221">
        <v>0</v>
      </c>
      <c r="E20" s="231">
        <v>12000</v>
      </c>
      <c r="F20" s="221">
        <v>0</v>
      </c>
      <c r="G20" s="221">
        <f t="shared" si="2"/>
        <v>12000</v>
      </c>
      <c r="H20" s="218">
        <v>24318652401</v>
      </c>
      <c r="I20" s="217"/>
      <c r="J20" s="217">
        <v>44856</v>
      </c>
      <c r="K20" s="218" t="s">
        <v>386</v>
      </c>
      <c r="L20" s="221">
        <v>10000</v>
      </c>
      <c r="M20" s="221">
        <v>0</v>
      </c>
      <c r="N20" s="223"/>
      <c r="O20" s="221">
        <v>0</v>
      </c>
      <c r="P20" s="221">
        <f t="shared" si="5"/>
        <v>10000</v>
      </c>
      <c r="Q20" s="218">
        <v>50759853597</v>
      </c>
    </row>
    <row r="21" spans="1:27" ht="15">
      <c r="A21" s="217">
        <v>44784</v>
      </c>
      <c r="B21" s="218" t="s">
        <v>387</v>
      </c>
      <c r="C21" s="221">
        <v>0</v>
      </c>
      <c r="D21" s="221">
        <v>0</v>
      </c>
      <c r="E21" s="231">
        <v>3261.49</v>
      </c>
      <c r="F21" s="221">
        <v>0</v>
      </c>
      <c r="G21" s="221">
        <f t="shared" si="2"/>
        <v>3261.49</v>
      </c>
      <c r="H21" s="218">
        <v>24807193106</v>
      </c>
      <c r="I21" s="217"/>
      <c r="J21" s="217">
        <v>44795</v>
      </c>
      <c r="K21" s="218" t="s">
        <v>388</v>
      </c>
      <c r="L21" s="221"/>
      <c r="M21" s="221">
        <v>0</v>
      </c>
      <c r="N21" s="221">
        <v>3000</v>
      </c>
      <c r="O21" s="221">
        <v>0</v>
      </c>
      <c r="P21" s="221">
        <f t="shared" si="5"/>
        <v>3000</v>
      </c>
    </row>
    <row r="22" spans="1:27" ht="15">
      <c r="A22" s="217">
        <v>44789</v>
      </c>
      <c r="B22" s="218" t="s">
        <v>380</v>
      </c>
      <c r="C22" s="221">
        <v>0</v>
      </c>
      <c r="D22" s="221">
        <v>0</v>
      </c>
      <c r="E22" s="231">
        <v>4847.53</v>
      </c>
      <c r="F22" s="221">
        <v>0</v>
      </c>
      <c r="G22" s="221">
        <f t="shared" si="2"/>
        <v>4847.53</v>
      </c>
      <c r="H22" s="218">
        <v>24949644825</v>
      </c>
      <c r="I22" s="217"/>
      <c r="J22" s="217">
        <v>44946</v>
      </c>
      <c r="K22" s="218" t="s">
        <v>369</v>
      </c>
      <c r="L22" s="221"/>
      <c r="M22" s="222"/>
      <c r="N22" s="223">
        <v>5000</v>
      </c>
      <c r="O22" s="221"/>
      <c r="P22" s="221">
        <f t="shared" si="5"/>
        <v>5000</v>
      </c>
      <c r="Q22" s="191">
        <v>7429845</v>
      </c>
    </row>
    <row r="23" spans="1:27" ht="15">
      <c r="A23" s="217">
        <v>44791</v>
      </c>
      <c r="B23" s="218" t="s">
        <v>382</v>
      </c>
      <c r="C23" s="221">
        <v>0</v>
      </c>
      <c r="D23" s="221">
        <v>0</v>
      </c>
      <c r="E23" s="231">
        <v>700</v>
      </c>
      <c r="F23" s="221">
        <v>0</v>
      </c>
      <c r="G23" s="221">
        <f t="shared" si="2"/>
        <v>700</v>
      </c>
      <c r="H23" s="218">
        <v>24996567168</v>
      </c>
      <c r="I23" s="217"/>
      <c r="J23" s="217">
        <v>44949</v>
      </c>
      <c r="K23" s="218" t="s">
        <v>369</v>
      </c>
      <c r="L23" s="221"/>
      <c r="M23" s="221"/>
      <c r="N23" s="221">
        <v>25000</v>
      </c>
      <c r="O23" s="221"/>
      <c r="P23" s="221">
        <f t="shared" si="5"/>
        <v>25000</v>
      </c>
      <c r="Q23" s="191">
        <v>8220394</v>
      </c>
    </row>
    <row r="24" spans="1:27" ht="15">
      <c r="A24" s="262">
        <v>44797</v>
      </c>
      <c r="B24" s="321" t="s">
        <v>389</v>
      </c>
      <c r="C24" s="322">
        <v>1600</v>
      </c>
      <c r="D24" s="322"/>
      <c r="E24" s="322"/>
      <c r="F24" s="322"/>
      <c r="G24" s="322">
        <f t="shared" si="2"/>
        <v>1600</v>
      </c>
      <c r="H24" s="321"/>
      <c r="I24" s="217"/>
      <c r="J24" s="217">
        <v>44950</v>
      </c>
      <c r="K24" s="218" t="s">
        <v>390</v>
      </c>
      <c r="L24" s="221"/>
      <c r="M24" s="222"/>
      <c r="N24" s="223">
        <v>10000</v>
      </c>
      <c r="O24" s="221"/>
      <c r="P24" s="221">
        <f t="shared" si="5"/>
        <v>10000</v>
      </c>
      <c r="Q24" s="323">
        <v>53959737523</v>
      </c>
    </row>
    <row r="25" spans="1:27" ht="15">
      <c r="A25" s="227">
        <v>44804</v>
      </c>
      <c r="B25" s="228" t="s">
        <v>391</v>
      </c>
      <c r="C25" s="223">
        <v>0</v>
      </c>
      <c r="D25" s="223">
        <v>0</v>
      </c>
      <c r="E25" s="223">
        <v>290</v>
      </c>
      <c r="F25" s="223">
        <v>0</v>
      </c>
      <c r="G25" s="223">
        <f t="shared" si="2"/>
        <v>290</v>
      </c>
      <c r="H25" s="228">
        <v>25358317054</v>
      </c>
      <c r="I25" s="324"/>
      <c r="J25" s="227"/>
      <c r="K25" s="228"/>
      <c r="L25" s="223"/>
      <c r="M25" s="223"/>
      <c r="N25" s="223"/>
      <c r="O25" s="223"/>
      <c r="P25" s="223">
        <f t="shared" si="5"/>
        <v>0</v>
      </c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</row>
    <row r="26" spans="1:27" ht="15">
      <c r="A26" s="227">
        <v>44812</v>
      </c>
      <c r="B26" s="228" t="s">
        <v>392</v>
      </c>
      <c r="C26" s="223">
        <v>4500</v>
      </c>
      <c r="D26" s="223">
        <v>0</v>
      </c>
      <c r="E26" s="223">
        <v>0</v>
      </c>
      <c r="F26" s="223"/>
      <c r="G26" s="223">
        <f t="shared" si="2"/>
        <v>4500</v>
      </c>
      <c r="H26" s="228"/>
      <c r="I26" s="324"/>
      <c r="J26" s="227"/>
      <c r="K26" s="228"/>
      <c r="L26" s="223">
        <v>0</v>
      </c>
      <c r="M26" s="223">
        <v>0</v>
      </c>
      <c r="N26" s="223">
        <v>0</v>
      </c>
      <c r="O26" s="223">
        <v>0</v>
      </c>
      <c r="P26" s="223">
        <f t="shared" si="5"/>
        <v>0</v>
      </c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</row>
    <row r="27" spans="1:27" ht="15">
      <c r="A27" s="227">
        <v>44813</v>
      </c>
      <c r="B27" s="228" t="s">
        <v>393</v>
      </c>
      <c r="C27" s="223">
        <v>2920</v>
      </c>
      <c r="D27" s="223">
        <v>0</v>
      </c>
      <c r="E27" s="223">
        <v>0</v>
      </c>
      <c r="F27" s="223"/>
      <c r="G27" s="223">
        <f t="shared" si="2"/>
        <v>2920</v>
      </c>
      <c r="H27" s="228"/>
      <c r="I27" s="227"/>
      <c r="J27" s="324"/>
      <c r="K27" s="228"/>
      <c r="L27" s="223">
        <v>0</v>
      </c>
      <c r="M27" s="223">
        <v>0</v>
      </c>
      <c r="N27" s="223">
        <v>0</v>
      </c>
      <c r="O27" s="223">
        <v>0</v>
      </c>
      <c r="P27" s="223">
        <f t="shared" si="5"/>
        <v>0</v>
      </c>
      <c r="Q27" s="270"/>
      <c r="R27" s="270"/>
      <c r="S27" s="270"/>
      <c r="T27" s="270"/>
      <c r="U27" s="270"/>
      <c r="V27" s="270"/>
      <c r="W27" s="270"/>
      <c r="X27" s="270"/>
      <c r="Y27" s="270"/>
      <c r="Z27" s="270"/>
      <c r="AA27" s="270"/>
    </row>
    <row r="28" spans="1:27" ht="15">
      <c r="A28" s="227">
        <v>44814</v>
      </c>
      <c r="B28" s="228" t="s">
        <v>394</v>
      </c>
      <c r="C28" s="223">
        <v>6600</v>
      </c>
      <c r="D28" s="223">
        <v>0</v>
      </c>
      <c r="E28" s="223">
        <v>0</v>
      </c>
      <c r="F28" s="223"/>
      <c r="G28" s="223">
        <f t="shared" si="2"/>
        <v>6600</v>
      </c>
      <c r="H28" s="228"/>
      <c r="I28" s="227"/>
      <c r="J28" s="227"/>
      <c r="K28" s="228"/>
      <c r="L28" s="223">
        <v>0</v>
      </c>
      <c r="M28" s="223">
        <v>0</v>
      </c>
      <c r="N28" s="223">
        <v>0</v>
      </c>
      <c r="O28" s="223">
        <v>0</v>
      </c>
      <c r="P28" s="223">
        <f t="shared" si="5"/>
        <v>0</v>
      </c>
      <c r="Q28" s="270"/>
      <c r="R28" s="270"/>
      <c r="S28" s="270"/>
      <c r="T28" s="270"/>
      <c r="U28" s="270"/>
      <c r="V28" s="270"/>
      <c r="W28" s="270"/>
      <c r="X28" s="270"/>
      <c r="Y28" s="270"/>
      <c r="Z28" s="270"/>
      <c r="AA28" s="270"/>
    </row>
    <row r="29" spans="1:27" ht="15">
      <c r="A29" s="271">
        <v>44823</v>
      </c>
      <c r="B29" s="272" t="s">
        <v>395</v>
      </c>
      <c r="C29" s="315">
        <v>0</v>
      </c>
      <c r="D29" s="315">
        <v>0</v>
      </c>
      <c r="E29" s="315">
        <v>1669.87</v>
      </c>
      <c r="F29" s="315">
        <v>0</v>
      </c>
      <c r="G29" s="315">
        <f t="shared" si="2"/>
        <v>1669.87</v>
      </c>
      <c r="H29" s="272">
        <v>25925950815</v>
      </c>
      <c r="I29" s="227"/>
      <c r="J29" s="227"/>
      <c r="K29" s="228"/>
      <c r="L29" s="223">
        <v>0</v>
      </c>
      <c r="M29" s="223">
        <v>0</v>
      </c>
      <c r="N29" s="223">
        <v>0</v>
      </c>
      <c r="O29" s="223">
        <v>0</v>
      </c>
      <c r="P29" s="223">
        <f t="shared" si="5"/>
        <v>0</v>
      </c>
      <c r="Q29" s="270"/>
      <c r="R29" s="270"/>
      <c r="S29" s="270"/>
      <c r="T29" s="270"/>
      <c r="U29" s="270"/>
      <c r="V29" s="270"/>
      <c r="W29" s="270"/>
      <c r="X29" s="270"/>
      <c r="Y29" s="270"/>
      <c r="Z29" s="270"/>
      <c r="AA29" s="270"/>
    </row>
    <row r="30" spans="1:27" ht="15">
      <c r="A30" s="217">
        <v>44829</v>
      </c>
      <c r="B30" s="218" t="s">
        <v>389</v>
      </c>
      <c r="C30" s="221">
        <v>1600</v>
      </c>
      <c r="D30" s="221"/>
      <c r="E30" s="231"/>
      <c r="F30" s="221"/>
      <c r="G30" s="221">
        <f t="shared" si="2"/>
        <v>1600</v>
      </c>
      <c r="H30" s="218"/>
      <c r="I30" s="316"/>
      <c r="J30" s="217"/>
      <c r="K30" s="218"/>
      <c r="L30" s="221">
        <v>0</v>
      </c>
      <c r="M30" s="221">
        <v>0</v>
      </c>
      <c r="N30" s="221">
        <v>0</v>
      </c>
      <c r="O30" s="221">
        <v>0</v>
      </c>
      <c r="P30" s="221">
        <f t="shared" si="5"/>
        <v>0</v>
      </c>
    </row>
    <row r="31" spans="1:27" ht="15">
      <c r="A31" s="217">
        <v>44831</v>
      </c>
      <c r="B31" s="218" t="s">
        <v>363</v>
      </c>
      <c r="C31" s="221"/>
      <c r="D31" s="221"/>
      <c r="E31" s="231">
        <v>1117.5</v>
      </c>
      <c r="F31" s="221"/>
      <c r="G31" s="221">
        <f t="shared" si="2"/>
        <v>1117.5</v>
      </c>
      <c r="H31" s="218">
        <v>26166684691</v>
      </c>
      <c r="I31" s="217"/>
      <c r="J31" s="316"/>
      <c r="K31" s="218"/>
      <c r="L31" s="221"/>
      <c r="M31" s="221"/>
      <c r="N31" s="221"/>
      <c r="O31" s="221"/>
      <c r="P31" s="221"/>
    </row>
    <row r="32" spans="1:27" ht="15">
      <c r="A32" s="217">
        <v>44854</v>
      </c>
      <c r="B32" s="218" t="s">
        <v>389</v>
      </c>
      <c r="C32" s="221">
        <v>1600</v>
      </c>
      <c r="D32" s="221"/>
      <c r="E32" s="223"/>
      <c r="F32" s="221"/>
      <c r="G32" s="221">
        <f t="shared" si="2"/>
        <v>1600</v>
      </c>
      <c r="H32" s="218"/>
      <c r="I32" s="217"/>
      <c r="J32" s="316"/>
      <c r="K32" s="218"/>
      <c r="L32" s="221">
        <v>0</v>
      </c>
      <c r="M32" s="221">
        <v>0</v>
      </c>
      <c r="N32" s="221">
        <v>0</v>
      </c>
      <c r="O32" s="221">
        <v>0</v>
      </c>
      <c r="P32" s="221">
        <f t="shared" ref="P32:P33" si="6">SUM(L32:O32)</f>
        <v>0</v>
      </c>
    </row>
    <row r="33" spans="1:27" ht="15">
      <c r="A33" s="262">
        <v>44856</v>
      </c>
      <c r="B33" s="263" t="s">
        <v>386</v>
      </c>
      <c r="C33" s="313">
        <v>0</v>
      </c>
      <c r="D33" s="313">
        <v>0</v>
      </c>
      <c r="E33" s="314">
        <v>10000</v>
      </c>
      <c r="F33" s="313">
        <v>0</v>
      </c>
      <c r="G33" s="313">
        <f t="shared" si="2"/>
        <v>10000</v>
      </c>
      <c r="H33" s="263">
        <v>50759853597</v>
      </c>
      <c r="I33" s="217"/>
      <c r="J33" s="217"/>
      <c r="K33" s="218"/>
      <c r="L33" s="221"/>
      <c r="M33" s="221"/>
      <c r="N33" s="221"/>
      <c r="O33" s="221">
        <v>0</v>
      </c>
      <c r="P33" s="221">
        <f t="shared" si="6"/>
        <v>0</v>
      </c>
    </row>
    <row r="34" spans="1:27" ht="15">
      <c r="A34" s="229">
        <v>44892</v>
      </c>
      <c r="B34" s="230" t="s">
        <v>389</v>
      </c>
      <c r="C34" s="231">
        <v>1600</v>
      </c>
      <c r="D34" s="231"/>
      <c r="E34" s="231"/>
      <c r="F34" s="231"/>
      <c r="G34" s="231">
        <f t="shared" si="2"/>
        <v>1600</v>
      </c>
      <c r="H34" s="230"/>
      <c r="I34" s="217"/>
      <c r="J34" s="217"/>
      <c r="K34" s="218"/>
      <c r="L34" s="221"/>
      <c r="M34" s="221"/>
      <c r="N34" s="221"/>
      <c r="O34" s="221"/>
      <c r="P34" s="221"/>
    </row>
    <row r="35" spans="1:27" ht="15">
      <c r="A35" s="217">
        <v>44903</v>
      </c>
      <c r="B35" s="218" t="s">
        <v>396</v>
      </c>
      <c r="C35" s="221">
        <v>600</v>
      </c>
      <c r="D35" s="221"/>
      <c r="E35" s="223"/>
      <c r="F35" s="221"/>
      <c r="G35" s="221">
        <f t="shared" si="2"/>
        <v>600</v>
      </c>
      <c r="H35" s="218"/>
      <c r="I35" s="217"/>
      <c r="J35" s="217"/>
      <c r="K35" s="218"/>
      <c r="L35" s="221"/>
      <c r="M35" s="221"/>
      <c r="N35" s="221"/>
      <c r="O35" s="221"/>
      <c r="P35" s="221"/>
    </row>
    <row r="36" spans="1:27" ht="15">
      <c r="A36" s="271">
        <v>44912</v>
      </c>
      <c r="B36" s="272" t="s">
        <v>397</v>
      </c>
      <c r="C36" s="315">
        <v>1800</v>
      </c>
      <c r="D36" s="315">
        <v>0</v>
      </c>
      <c r="E36" s="315">
        <v>0</v>
      </c>
      <c r="F36" s="315">
        <v>0</v>
      </c>
      <c r="G36" s="315">
        <f t="shared" si="2"/>
        <v>1800</v>
      </c>
      <c r="H36" s="272"/>
      <c r="I36" s="227"/>
      <c r="J36" s="227"/>
      <c r="K36" s="228"/>
      <c r="L36" s="223">
        <v>0</v>
      </c>
      <c r="M36" s="223">
        <v>0</v>
      </c>
      <c r="N36" s="223">
        <v>0</v>
      </c>
      <c r="O36" s="223">
        <v>0</v>
      </c>
      <c r="P36" s="223">
        <f t="shared" ref="P36:P39" si="7">SUM(L36:O36)</f>
        <v>0</v>
      </c>
      <c r="Q36" s="270"/>
      <c r="R36" s="270"/>
      <c r="S36" s="270"/>
      <c r="T36" s="270"/>
      <c r="U36" s="270"/>
      <c r="V36" s="270"/>
      <c r="W36" s="270"/>
      <c r="X36" s="270"/>
      <c r="Y36" s="270"/>
      <c r="Z36" s="270"/>
      <c r="AA36" s="270"/>
    </row>
    <row r="37" spans="1:27" ht="15">
      <c r="A37" s="229">
        <v>44922</v>
      </c>
      <c r="B37" s="230" t="s">
        <v>389</v>
      </c>
      <c r="C37" s="231">
        <v>1600</v>
      </c>
      <c r="D37" s="231">
        <v>0</v>
      </c>
      <c r="E37" s="231">
        <v>0</v>
      </c>
      <c r="F37" s="231">
        <v>0</v>
      </c>
      <c r="G37" s="231">
        <f t="shared" si="2"/>
        <v>1600</v>
      </c>
      <c r="H37" s="230"/>
      <c r="I37" s="325"/>
      <c r="J37" s="325"/>
      <c r="K37" s="326"/>
      <c r="L37" s="327">
        <v>0</v>
      </c>
      <c r="M37" s="327">
        <v>0</v>
      </c>
      <c r="N37" s="327">
        <v>0</v>
      </c>
      <c r="O37" s="327">
        <v>0</v>
      </c>
      <c r="P37" s="327">
        <f t="shared" si="7"/>
        <v>0</v>
      </c>
      <c r="Q37" s="328"/>
      <c r="R37" s="328"/>
      <c r="S37" s="328"/>
      <c r="T37" s="328"/>
      <c r="U37" s="328"/>
      <c r="V37" s="328"/>
      <c r="W37" s="328"/>
      <c r="X37" s="328"/>
      <c r="Y37" s="328"/>
      <c r="Z37" s="328"/>
      <c r="AA37" s="328"/>
    </row>
    <row r="38" spans="1:27" ht="15">
      <c r="A38" s="217">
        <v>44930</v>
      </c>
      <c r="B38" s="218" t="s">
        <v>398</v>
      </c>
      <c r="C38" s="221"/>
      <c r="D38" s="221"/>
      <c r="E38" s="223">
        <v>7000</v>
      </c>
      <c r="F38" s="221"/>
      <c r="G38" s="221">
        <f t="shared" si="2"/>
        <v>7000</v>
      </c>
      <c r="H38" s="218">
        <v>53284604965</v>
      </c>
      <c r="I38" s="217"/>
      <c r="J38" s="217"/>
      <c r="K38" s="218"/>
      <c r="L38" s="221">
        <v>0</v>
      </c>
      <c r="M38" s="221">
        <v>0</v>
      </c>
      <c r="N38" s="221">
        <v>0</v>
      </c>
      <c r="O38" s="221">
        <v>0</v>
      </c>
      <c r="P38" s="221">
        <f t="shared" si="7"/>
        <v>0</v>
      </c>
    </row>
    <row r="39" spans="1:27" ht="15">
      <c r="A39" s="217">
        <v>44932</v>
      </c>
      <c r="B39" s="218" t="s">
        <v>399</v>
      </c>
      <c r="C39" s="221"/>
      <c r="D39" s="222">
        <v>3500</v>
      </c>
      <c r="E39" s="223"/>
      <c r="F39" s="221"/>
      <c r="G39" s="221">
        <f t="shared" si="2"/>
        <v>3500</v>
      </c>
      <c r="H39" s="191">
        <v>2062419</v>
      </c>
      <c r="I39" s="217"/>
      <c r="J39" s="217"/>
      <c r="K39" s="218"/>
      <c r="L39" s="221">
        <v>0</v>
      </c>
      <c r="M39" s="221">
        <v>0</v>
      </c>
      <c r="N39" s="221">
        <v>0</v>
      </c>
      <c r="O39" s="221">
        <v>0</v>
      </c>
      <c r="P39" s="221">
        <f t="shared" si="7"/>
        <v>0</v>
      </c>
    </row>
    <row r="40" spans="1:27" ht="15">
      <c r="A40" s="217">
        <v>44946</v>
      </c>
      <c r="B40" s="218" t="s">
        <v>369</v>
      </c>
      <c r="C40" s="221"/>
      <c r="D40" s="222">
        <v>5000</v>
      </c>
      <c r="E40" s="223"/>
      <c r="F40" s="221"/>
      <c r="G40" s="221">
        <f t="shared" si="2"/>
        <v>5000</v>
      </c>
      <c r="H40" s="191">
        <v>7429845</v>
      </c>
      <c r="I40" s="191"/>
      <c r="J40" s="191"/>
      <c r="K40" s="191"/>
      <c r="L40" s="221"/>
      <c r="M40" s="221"/>
      <c r="N40" s="221"/>
      <c r="O40" s="221"/>
      <c r="P40" s="221"/>
    </row>
    <row r="41" spans="1:27" ht="15">
      <c r="A41" s="217">
        <v>44949</v>
      </c>
      <c r="B41" s="218" t="s">
        <v>369</v>
      </c>
      <c r="C41" s="221"/>
      <c r="D41" s="222">
        <v>25000</v>
      </c>
      <c r="E41" s="223"/>
      <c r="F41" s="221"/>
      <c r="G41" s="221">
        <f t="shared" si="2"/>
        <v>25000</v>
      </c>
      <c r="H41" s="191">
        <v>53939517602</v>
      </c>
      <c r="I41" s="191"/>
      <c r="J41" s="191"/>
      <c r="K41" s="191"/>
      <c r="L41" s="221"/>
      <c r="M41" s="221"/>
      <c r="N41" s="221"/>
      <c r="O41" s="221"/>
      <c r="P41" s="221"/>
    </row>
    <row r="42" spans="1:27" ht="15">
      <c r="A42" s="271">
        <v>44950</v>
      </c>
      <c r="B42" s="272" t="s">
        <v>390</v>
      </c>
      <c r="C42" s="315">
        <v>10000</v>
      </c>
      <c r="D42" s="315"/>
      <c r="E42" s="315"/>
      <c r="F42" s="315"/>
      <c r="G42" s="315">
        <f t="shared" si="2"/>
        <v>10000</v>
      </c>
      <c r="H42" s="272">
        <v>53959737523</v>
      </c>
      <c r="I42" s="191"/>
      <c r="J42" s="191"/>
      <c r="K42" s="191"/>
      <c r="L42" s="221"/>
      <c r="M42" s="221"/>
      <c r="N42" s="221"/>
      <c r="O42" s="221"/>
      <c r="P42" s="221"/>
    </row>
    <row r="43" spans="1:27" ht="15">
      <c r="A43" s="217">
        <v>44960</v>
      </c>
      <c r="B43" s="218" t="s">
        <v>389</v>
      </c>
      <c r="C43" s="221">
        <v>1000</v>
      </c>
      <c r="D43" s="222"/>
      <c r="E43" s="223"/>
      <c r="F43" s="221"/>
      <c r="G43" s="221">
        <f t="shared" si="2"/>
        <v>1000</v>
      </c>
      <c r="H43" s="191"/>
      <c r="I43" s="191"/>
      <c r="J43" s="217">
        <v>44958</v>
      </c>
      <c r="K43" s="191" t="s">
        <v>400</v>
      </c>
      <c r="L43" s="221"/>
      <c r="M43" s="221"/>
      <c r="N43" s="221">
        <v>200000</v>
      </c>
      <c r="O43" s="221"/>
      <c r="P43" s="221"/>
    </row>
    <row r="44" spans="1:27" ht="15">
      <c r="A44" s="217">
        <v>44986</v>
      </c>
      <c r="B44" s="218" t="s">
        <v>401</v>
      </c>
      <c r="C44" s="221"/>
      <c r="D44" s="222"/>
      <c r="E44" s="223">
        <v>4500</v>
      </c>
      <c r="F44" s="221"/>
      <c r="G44" s="221">
        <f t="shared" si="2"/>
        <v>4500</v>
      </c>
      <c r="H44" s="191">
        <v>55240653241</v>
      </c>
      <c r="I44" s="191"/>
      <c r="J44" s="217">
        <v>44986</v>
      </c>
      <c r="K44" s="218" t="s">
        <v>401</v>
      </c>
      <c r="L44" s="221"/>
      <c r="M44" s="222">
        <v>4500</v>
      </c>
      <c r="N44" s="223"/>
      <c r="O44" s="221"/>
      <c r="P44" s="221">
        <f>SUM(L44:O44)</f>
        <v>4500</v>
      </c>
      <c r="Q44" s="191">
        <v>55240653241</v>
      </c>
    </row>
    <row r="45" spans="1:27" ht="15">
      <c r="A45" s="217">
        <v>44986</v>
      </c>
      <c r="B45" s="218" t="s">
        <v>402</v>
      </c>
      <c r="C45" s="221"/>
      <c r="D45" s="222">
        <v>57426</v>
      </c>
      <c r="E45" s="223"/>
      <c r="F45" s="221"/>
      <c r="G45" s="221">
        <f t="shared" si="2"/>
        <v>57426</v>
      </c>
      <c r="H45" s="191"/>
      <c r="I45" s="191"/>
      <c r="J45" s="217">
        <v>44994</v>
      </c>
      <c r="K45" s="191" t="s">
        <v>400</v>
      </c>
      <c r="L45" s="221">
        <v>456000</v>
      </c>
      <c r="M45" s="221"/>
      <c r="N45" s="221"/>
      <c r="O45" s="221">
        <v>456000</v>
      </c>
      <c r="P45" s="221"/>
    </row>
    <row r="46" spans="1:27" ht="15">
      <c r="A46" s="217">
        <v>44993</v>
      </c>
      <c r="B46" s="218" t="s">
        <v>403</v>
      </c>
      <c r="C46" s="221"/>
      <c r="D46" s="222"/>
      <c r="E46" s="223">
        <v>20000</v>
      </c>
      <c r="F46" s="221"/>
      <c r="G46" s="221">
        <f t="shared" si="2"/>
        <v>20000</v>
      </c>
      <c r="H46" s="191"/>
      <c r="I46" s="191"/>
      <c r="J46" s="217">
        <v>44986</v>
      </c>
      <c r="K46" s="191" t="s">
        <v>402</v>
      </c>
      <c r="L46" s="221">
        <v>57426</v>
      </c>
      <c r="M46" s="221"/>
      <c r="N46" s="221"/>
      <c r="O46" s="221"/>
      <c r="P46" s="221"/>
    </row>
    <row r="47" spans="1:27" ht="15">
      <c r="A47" s="217">
        <v>44972</v>
      </c>
      <c r="B47" s="218" t="s">
        <v>404</v>
      </c>
      <c r="C47" s="221"/>
      <c r="D47" s="222"/>
      <c r="E47" s="223">
        <v>150000</v>
      </c>
      <c r="F47" s="221"/>
      <c r="G47" s="221">
        <f t="shared" si="2"/>
        <v>150000</v>
      </c>
      <c r="H47" s="191"/>
      <c r="I47" s="191"/>
      <c r="J47" s="217">
        <v>44993</v>
      </c>
      <c r="K47" s="218" t="s">
        <v>403</v>
      </c>
      <c r="L47" s="221">
        <v>20000</v>
      </c>
      <c r="M47" s="221"/>
      <c r="N47" s="221"/>
      <c r="O47" s="221"/>
      <c r="P47" s="221"/>
    </row>
    <row r="48" spans="1:27" ht="15">
      <c r="A48" s="217">
        <v>44995</v>
      </c>
      <c r="B48" s="218" t="s">
        <v>357</v>
      </c>
      <c r="C48" s="221">
        <v>444000</v>
      </c>
      <c r="D48" s="222"/>
      <c r="E48" s="223"/>
      <c r="F48" s="221"/>
      <c r="G48" s="221">
        <f t="shared" si="2"/>
        <v>444000</v>
      </c>
      <c r="H48" s="191"/>
      <c r="I48" s="191"/>
      <c r="J48" s="217">
        <v>44995</v>
      </c>
      <c r="K48" s="218" t="s">
        <v>405</v>
      </c>
      <c r="L48" s="221">
        <v>13000</v>
      </c>
      <c r="M48" s="221"/>
      <c r="N48" s="221"/>
      <c r="O48" s="221"/>
      <c r="P48" s="221"/>
    </row>
    <row r="49" spans="1:16" ht="15">
      <c r="A49" s="217">
        <v>44995</v>
      </c>
      <c r="B49" s="218" t="s">
        <v>402</v>
      </c>
      <c r="C49" s="221"/>
      <c r="D49" s="222">
        <v>59000</v>
      </c>
      <c r="E49" s="223"/>
      <c r="F49" s="221"/>
      <c r="G49" s="221">
        <f t="shared" si="2"/>
        <v>59000</v>
      </c>
      <c r="H49" s="191"/>
      <c r="I49" s="191"/>
      <c r="J49" s="191"/>
      <c r="K49" s="191"/>
      <c r="L49" s="221"/>
      <c r="M49" s="221"/>
      <c r="N49" s="221"/>
      <c r="O49" s="221"/>
      <c r="P49" s="221"/>
    </row>
    <row r="50" spans="1:16" ht="15">
      <c r="A50" s="217">
        <v>44995</v>
      </c>
      <c r="B50" s="218" t="s">
        <v>405</v>
      </c>
      <c r="C50" s="221"/>
      <c r="D50" s="222"/>
      <c r="E50" s="223">
        <v>13000</v>
      </c>
      <c r="F50" s="221"/>
      <c r="G50" s="221">
        <f t="shared" si="2"/>
        <v>13000</v>
      </c>
      <c r="H50" s="191"/>
      <c r="I50" s="191"/>
      <c r="J50" s="191"/>
      <c r="K50" s="191"/>
      <c r="L50" s="221"/>
      <c r="M50" s="221"/>
      <c r="N50" s="221"/>
      <c r="O50" s="221"/>
      <c r="P50" s="221"/>
    </row>
    <row r="51" spans="1:16" ht="15">
      <c r="A51" s="217">
        <v>45013</v>
      </c>
      <c r="B51" s="218" t="s">
        <v>404</v>
      </c>
      <c r="C51" s="221">
        <v>200000</v>
      </c>
      <c r="D51" s="222"/>
      <c r="E51" s="223"/>
      <c r="F51" s="221"/>
      <c r="G51" s="221">
        <f t="shared" si="2"/>
        <v>200000</v>
      </c>
      <c r="H51" s="191"/>
      <c r="I51" s="191"/>
      <c r="J51" s="191"/>
      <c r="K51" s="191"/>
      <c r="L51" s="221"/>
      <c r="M51" s="221"/>
      <c r="N51" s="221"/>
      <c r="O51" s="221"/>
      <c r="P51" s="221"/>
    </row>
    <row r="52" spans="1:16" ht="15">
      <c r="A52" s="217">
        <v>45013</v>
      </c>
      <c r="B52" s="218" t="s">
        <v>404</v>
      </c>
      <c r="C52" s="221">
        <f>1430+910+980+4710+1840+3860+5550+3390+900+2280+3410+3040+1000+520+440+4360</f>
        <v>38620</v>
      </c>
      <c r="D52" s="222"/>
      <c r="E52" s="223"/>
      <c r="F52" s="221"/>
      <c r="G52" s="221">
        <f t="shared" si="2"/>
        <v>38620</v>
      </c>
      <c r="H52" s="191"/>
      <c r="I52" s="191"/>
      <c r="J52" s="191"/>
      <c r="K52" s="191"/>
      <c r="L52" s="221"/>
      <c r="M52" s="221"/>
      <c r="N52" s="221"/>
      <c r="O52" s="221"/>
      <c r="P52" s="221"/>
    </row>
    <row r="53" spans="1:16" ht="15">
      <c r="A53" s="217"/>
      <c r="B53" s="218"/>
      <c r="C53" s="221"/>
      <c r="D53" s="222"/>
      <c r="E53" s="223"/>
      <c r="F53" s="221"/>
      <c r="G53" s="221">
        <f t="shared" si="2"/>
        <v>0</v>
      </c>
      <c r="H53" s="191"/>
      <c r="I53" s="191"/>
      <c r="J53" s="191"/>
      <c r="K53" s="191"/>
      <c r="L53" s="221"/>
      <c r="M53" s="221"/>
      <c r="N53" s="221"/>
      <c r="O53" s="221"/>
      <c r="P53" s="221"/>
    </row>
    <row r="54" spans="1:16" ht="15">
      <c r="A54" s="217"/>
      <c r="B54" s="218"/>
      <c r="C54" s="221"/>
      <c r="D54" s="222"/>
      <c r="E54" s="223"/>
      <c r="F54" s="221"/>
      <c r="G54" s="221">
        <f t="shared" si="2"/>
        <v>0</v>
      </c>
      <c r="H54" s="191"/>
      <c r="I54" s="191"/>
      <c r="J54" s="191"/>
      <c r="K54" s="191"/>
      <c r="L54" s="221"/>
      <c r="M54" s="221"/>
      <c r="N54" s="221"/>
      <c r="O54" s="221"/>
      <c r="P54" s="221"/>
    </row>
    <row r="55" spans="1:16" ht="15">
      <c r="A55" s="217"/>
      <c r="B55" s="218"/>
      <c r="C55" s="221"/>
      <c r="D55" s="222"/>
      <c r="E55" s="223"/>
      <c r="F55" s="221"/>
      <c r="G55" s="221">
        <f t="shared" si="2"/>
        <v>0</v>
      </c>
      <c r="H55" s="191"/>
      <c r="I55" s="191"/>
      <c r="J55" s="191"/>
      <c r="K55" s="191"/>
      <c r="L55" s="221"/>
      <c r="M55" s="221"/>
      <c r="N55" s="221"/>
      <c r="O55" s="221"/>
      <c r="P55" s="221"/>
    </row>
    <row r="56" spans="1:16" ht="15">
      <c r="A56" s="217"/>
      <c r="B56" s="218"/>
      <c r="C56" s="221"/>
      <c r="D56" s="222"/>
      <c r="E56" s="223"/>
      <c r="F56" s="221"/>
      <c r="G56" s="221">
        <f t="shared" si="2"/>
        <v>0</v>
      </c>
      <c r="H56" s="191"/>
      <c r="I56" s="191"/>
      <c r="J56" s="191"/>
      <c r="K56" s="191"/>
      <c r="L56" s="221"/>
      <c r="M56" s="221"/>
      <c r="N56" s="221"/>
      <c r="O56" s="221"/>
      <c r="P56" s="221"/>
    </row>
    <row r="57" spans="1:16" ht="15">
      <c r="A57" s="217"/>
      <c r="B57" s="218"/>
      <c r="C57" s="221"/>
      <c r="D57" s="222"/>
      <c r="E57" s="223"/>
      <c r="F57" s="221"/>
      <c r="G57" s="221">
        <f t="shared" si="2"/>
        <v>0</v>
      </c>
      <c r="H57" s="191"/>
      <c r="I57" s="191"/>
      <c r="J57" s="191"/>
      <c r="K57" s="191"/>
      <c r="L57" s="221"/>
      <c r="M57" s="221"/>
      <c r="N57" s="221"/>
      <c r="O57" s="221"/>
      <c r="P57" s="221"/>
    </row>
    <row r="58" spans="1:16" ht="15">
      <c r="A58" s="217"/>
      <c r="B58" s="218"/>
      <c r="C58" s="221"/>
      <c r="D58" s="222"/>
      <c r="E58" s="223"/>
      <c r="F58" s="221"/>
      <c r="G58" s="221">
        <f t="shared" si="2"/>
        <v>0</v>
      </c>
      <c r="H58" s="191"/>
      <c r="I58" s="191"/>
      <c r="J58" s="191"/>
      <c r="K58" s="191"/>
      <c r="L58" s="221"/>
      <c r="M58" s="221"/>
      <c r="N58" s="221"/>
      <c r="O58" s="221"/>
      <c r="P58" s="221"/>
    </row>
    <row r="59" spans="1:16" ht="15">
      <c r="A59" s="217"/>
      <c r="B59" s="218"/>
      <c r="C59" s="221"/>
      <c r="D59" s="222"/>
      <c r="E59" s="223"/>
      <c r="F59" s="221"/>
      <c r="G59" s="221">
        <f t="shared" si="2"/>
        <v>0</v>
      </c>
      <c r="H59" s="191"/>
      <c r="I59" s="191"/>
      <c r="J59" s="191"/>
      <c r="K59" s="191"/>
      <c r="L59" s="221"/>
      <c r="M59" s="221"/>
      <c r="N59" s="221"/>
      <c r="O59" s="221"/>
      <c r="P59" s="221"/>
    </row>
    <row r="60" spans="1:16" ht="15">
      <c r="A60" s="217"/>
      <c r="B60" s="218"/>
      <c r="C60" s="221"/>
      <c r="D60" s="222"/>
      <c r="E60" s="223"/>
      <c r="F60" s="221"/>
      <c r="G60" s="221">
        <f t="shared" si="2"/>
        <v>0</v>
      </c>
      <c r="H60" s="191"/>
      <c r="I60" s="191"/>
      <c r="J60" s="191"/>
      <c r="K60" s="191"/>
      <c r="L60" s="221"/>
      <c r="M60" s="221"/>
      <c r="N60" s="221"/>
      <c r="O60" s="221"/>
      <c r="P60" s="221"/>
    </row>
    <row r="61" spans="1:16" ht="15">
      <c r="A61" s="217"/>
      <c r="B61" s="218"/>
      <c r="C61" s="221"/>
      <c r="D61" s="222"/>
      <c r="E61" s="223"/>
      <c r="F61" s="221"/>
      <c r="G61" s="221">
        <f t="shared" si="2"/>
        <v>0</v>
      </c>
      <c r="H61" s="191"/>
      <c r="I61" s="191"/>
      <c r="J61" s="191"/>
      <c r="K61" s="191"/>
      <c r="L61" s="221"/>
      <c r="M61" s="221"/>
      <c r="N61" s="221"/>
      <c r="O61" s="221"/>
      <c r="P61" s="221"/>
    </row>
    <row r="62" spans="1:16" ht="15">
      <c r="A62" s="217"/>
      <c r="B62" s="218"/>
      <c r="C62" s="221"/>
      <c r="D62" s="222"/>
      <c r="E62" s="223"/>
      <c r="F62" s="221"/>
      <c r="G62" s="221">
        <f t="shared" si="2"/>
        <v>0</v>
      </c>
      <c r="H62" s="191"/>
      <c r="I62" s="191"/>
      <c r="J62" s="191"/>
      <c r="K62" s="191"/>
      <c r="L62" s="221"/>
      <c r="M62" s="221"/>
      <c r="N62" s="221"/>
      <c r="O62" s="221"/>
      <c r="P62" s="221"/>
    </row>
    <row r="63" spans="1:16" ht="15">
      <c r="A63" s="217"/>
      <c r="B63" s="218"/>
      <c r="C63" s="221"/>
      <c r="D63" s="222"/>
      <c r="E63" s="223"/>
      <c r="F63" s="221"/>
      <c r="G63" s="221">
        <f t="shared" si="2"/>
        <v>0</v>
      </c>
      <c r="H63" s="191"/>
      <c r="I63" s="191"/>
      <c r="J63" s="191"/>
      <c r="K63" s="191"/>
      <c r="L63" s="221"/>
      <c r="M63" s="221"/>
      <c r="N63" s="221"/>
      <c r="O63" s="221"/>
      <c r="P63" s="221"/>
    </row>
    <row r="64" spans="1:16" ht="15">
      <c r="A64" s="217"/>
      <c r="B64" s="218"/>
      <c r="C64" s="221"/>
      <c r="D64" s="222"/>
      <c r="E64" s="223"/>
      <c r="F64" s="221"/>
      <c r="G64" s="221">
        <f t="shared" si="2"/>
        <v>0</v>
      </c>
      <c r="H64" s="191"/>
      <c r="I64" s="191"/>
      <c r="J64" s="191"/>
      <c r="K64" s="191"/>
      <c r="L64" s="221"/>
      <c r="M64" s="221"/>
      <c r="N64" s="221"/>
      <c r="O64" s="221"/>
      <c r="P64" s="221"/>
    </row>
    <row r="65" spans="1:16" ht="15">
      <c r="A65" s="217"/>
      <c r="B65" s="218"/>
      <c r="C65" s="221"/>
      <c r="D65" s="222"/>
      <c r="E65" s="223"/>
      <c r="F65" s="221"/>
      <c r="G65" s="221">
        <f t="shared" si="2"/>
        <v>0</v>
      </c>
      <c r="H65" s="191"/>
      <c r="I65" s="191"/>
      <c r="J65" s="191"/>
      <c r="K65" s="191"/>
      <c r="L65" s="221"/>
      <c r="M65" s="221"/>
      <c r="N65" s="221"/>
      <c r="O65" s="221"/>
      <c r="P65" s="221"/>
    </row>
    <row r="66" spans="1:16" ht="15">
      <c r="A66" s="217"/>
      <c r="B66" s="218"/>
      <c r="C66" s="221"/>
      <c r="D66" s="222"/>
      <c r="E66" s="223"/>
      <c r="F66" s="221"/>
      <c r="G66" s="221">
        <f t="shared" si="2"/>
        <v>0</v>
      </c>
      <c r="H66" s="191"/>
      <c r="I66" s="191"/>
      <c r="J66" s="191"/>
      <c r="K66" s="191"/>
      <c r="L66" s="221"/>
      <c r="M66" s="221"/>
      <c r="N66" s="221"/>
      <c r="O66" s="221"/>
      <c r="P66" s="221"/>
    </row>
    <row r="67" spans="1:16" ht="15">
      <c r="A67" s="217"/>
      <c r="B67" s="218"/>
      <c r="C67" s="221"/>
      <c r="D67" s="222"/>
      <c r="E67" s="223"/>
      <c r="F67" s="221"/>
      <c r="G67" s="221">
        <f t="shared" si="2"/>
        <v>0</v>
      </c>
      <c r="H67" s="191"/>
      <c r="I67" s="191"/>
      <c r="J67" s="191"/>
      <c r="K67" s="191"/>
      <c r="L67" s="221"/>
      <c r="M67" s="221"/>
      <c r="N67" s="221"/>
      <c r="O67" s="221"/>
      <c r="P67" s="221"/>
    </row>
    <row r="68" spans="1:16" ht="15">
      <c r="A68" s="217"/>
      <c r="B68" s="218"/>
      <c r="C68" s="221"/>
      <c r="D68" s="222"/>
      <c r="E68" s="223"/>
      <c r="F68" s="221"/>
      <c r="G68" s="221">
        <f t="shared" si="2"/>
        <v>0</v>
      </c>
      <c r="H68" s="191"/>
      <c r="I68" s="191"/>
      <c r="J68" s="191"/>
      <c r="K68" s="191"/>
      <c r="L68" s="221"/>
      <c r="M68" s="221"/>
      <c r="N68" s="221"/>
      <c r="O68" s="221"/>
      <c r="P68" s="221"/>
    </row>
    <row r="69" spans="1:16" ht="15">
      <c r="A69" s="217"/>
      <c r="B69" s="218"/>
      <c r="C69" s="221"/>
      <c r="D69" s="222"/>
      <c r="E69" s="223"/>
      <c r="F69" s="221"/>
      <c r="G69" s="221">
        <f t="shared" si="2"/>
        <v>0</v>
      </c>
      <c r="H69" s="191"/>
      <c r="I69" s="191"/>
      <c r="J69" s="191"/>
      <c r="K69" s="191"/>
      <c r="L69" s="221"/>
      <c r="M69" s="221"/>
      <c r="N69" s="221"/>
      <c r="O69" s="221"/>
      <c r="P69" s="221"/>
    </row>
    <row r="70" spans="1:16" ht="15">
      <c r="A70" s="217"/>
      <c r="B70" s="218"/>
      <c r="C70" s="221"/>
      <c r="D70" s="222"/>
      <c r="E70" s="223"/>
      <c r="F70" s="221"/>
      <c r="G70" s="221">
        <f t="shared" si="2"/>
        <v>0</v>
      </c>
      <c r="H70" s="191"/>
      <c r="I70" s="191"/>
      <c r="J70" s="191"/>
      <c r="K70" s="191"/>
      <c r="L70" s="221"/>
      <c r="M70" s="221"/>
      <c r="N70" s="221"/>
      <c r="O70" s="221"/>
      <c r="P70" s="221"/>
    </row>
    <row r="71" spans="1:16" ht="15">
      <c r="A71" s="217"/>
      <c r="B71" s="218"/>
      <c r="C71" s="221"/>
      <c r="D71" s="222"/>
      <c r="E71" s="223"/>
      <c r="F71" s="221"/>
      <c r="G71" s="221">
        <f t="shared" si="2"/>
        <v>0</v>
      </c>
      <c r="H71" s="191"/>
      <c r="I71" s="191"/>
      <c r="J71" s="191"/>
      <c r="K71" s="191"/>
      <c r="L71" s="221"/>
      <c r="M71" s="221"/>
      <c r="N71" s="221"/>
      <c r="O71" s="221"/>
      <c r="P71" s="221"/>
    </row>
    <row r="72" spans="1:16" ht="15">
      <c r="A72" s="217"/>
      <c r="B72" s="218"/>
      <c r="C72" s="221"/>
      <c r="D72" s="222"/>
      <c r="E72" s="223"/>
      <c r="F72" s="221"/>
      <c r="G72" s="221">
        <f t="shared" si="2"/>
        <v>0</v>
      </c>
      <c r="H72" s="191"/>
      <c r="I72" s="191"/>
      <c r="J72" s="191"/>
      <c r="K72" s="191"/>
      <c r="L72" s="221"/>
      <c r="M72" s="221"/>
      <c r="N72" s="221"/>
      <c r="O72" s="221"/>
      <c r="P72" s="221"/>
    </row>
    <row r="73" spans="1:16" ht="15">
      <c r="A73" s="217"/>
      <c r="B73" s="218"/>
      <c r="C73" s="221"/>
      <c r="D73" s="222"/>
      <c r="E73" s="223"/>
      <c r="F73" s="221"/>
      <c r="G73" s="221">
        <f t="shared" si="2"/>
        <v>0</v>
      </c>
      <c r="H73" s="191"/>
      <c r="I73" s="191"/>
      <c r="J73" s="191"/>
      <c r="K73" s="191"/>
      <c r="L73" s="221"/>
      <c r="M73" s="221"/>
      <c r="N73" s="221"/>
      <c r="O73" s="221"/>
      <c r="P73" s="221"/>
    </row>
    <row r="74" spans="1:16" ht="15">
      <c r="A74" s="217"/>
      <c r="B74" s="218"/>
      <c r="C74" s="221"/>
      <c r="D74" s="222"/>
      <c r="E74" s="223"/>
      <c r="F74" s="221"/>
      <c r="G74" s="221">
        <f t="shared" si="2"/>
        <v>0</v>
      </c>
      <c r="H74" s="191"/>
      <c r="I74" s="191"/>
      <c r="J74" s="191"/>
      <c r="K74" s="191"/>
      <c r="L74" s="221"/>
      <c r="M74" s="221"/>
      <c r="N74" s="221"/>
      <c r="O74" s="221"/>
      <c r="P74" s="221"/>
    </row>
    <row r="75" spans="1:16" ht="15">
      <c r="A75" s="217"/>
      <c r="B75" s="218"/>
      <c r="C75" s="221"/>
      <c r="D75" s="222"/>
      <c r="E75" s="223"/>
      <c r="F75" s="221"/>
      <c r="G75" s="221">
        <f t="shared" si="2"/>
        <v>0</v>
      </c>
      <c r="H75" s="191"/>
      <c r="I75" s="191"/>
      <c r="J75" s="191"/>
      <c r="K75" s="191"/>
      <c r="L75" s="221"/>
      <c r="M75" s="221"/>
      <c r="N75" s="221"/>
      <c r="O75" s="221"/>
      <c r="P75" s="221"/>
    </row>
    <row r="76" spans="1:16" ht="15">
      <c r="A76" s="217"/>
      <c r="B76" s="218"/>
      <c r="C76" s="221"/>
      <c r="D76" s="222"/>
      <c r="E76" s="223"/>
      <c r="F76" s="221"/>
      <c r="G76" s="221">
        <f t="shared" si="2"/>
        <v>0</v>
      </c>
      <c r="H76" s="191"/>
      <c r="I76" s="191"/>
      <c r="J76" s="191"/>
      <c r="K76" s="191"/>
      <c r="L76" s="221"/>
      <c r="M76" s="221"/>
      <c r="N76" s="221"/>
      <c r="O76" s="221"/>
      <c r="P76" s="221"/>
    </row>
    <row r="77" spans="1:16" ht="15">
      <c r="A77" s="217"/>
      <c r="B77" s="218"/>
      <c r="C77" s="221"/>
      <c r="D77" s="222"/>
      <c r="E77" s="223"/>
      <c r="F77" s="221"/>
      <c r="G77" s="221">
        <f t="shared" si="2"/>
        <v>0</v>
      </c>
      <c r="H77" s="191"/>
      <c r="I77" s="191"/>
      <c r="J77" s="191"/>
      <c r="K77" s="191"/>
      <c r="L77" s="221"/>
      <c r="M77" s="221"/>
      <c r="N77" s="221"/>
      <c r="O77" s="221"/>
      <c r="P77" s="221"/>
    </row>
    <row r="78" spans="1:16" ht="15">
      <c r="A78" s="217"/>
      <c r="B78" s="218"/>
      <c r="C78" s="221"/>
      <c r="D78" s="222"/>
      <c r="E78" s="223"/>
      <c r="F78" s="221"/>
      <c r="G78" s="221">
        <f t="shared" si="2"/>
        <v>0</v>
      </c>
      <c r="H78" s="191"/>
      <c r="I78" s="191"/>
      <c r="J78" s="191"/>
      <c r="K78" s="191"/>
      <c r="L78" s="221"/>
      <c r="M78" s="221"/>
      <c r="N78" s="221"/>
      <c r="O78" s="221"/>
      <c r="P78" s="221"/>
    </row>
    <row r="79" spans="1:16" ht="15">
      <c r="A79" s="217"/>
      <c r="B79" s="218"/>
      <c r="C79" s="221"/>
      <c r="D79" s="222"/>
      <c r="E79" s="223"/>
      <c r="F79" s="221"/>
      <c r="G79" s="221">
        <f t="shared" si="2"/>
        <v>0</v>
      </c>
      <c r="H79" s="191"/>
      <c r="I79" s="191"/>
      <c r="J79" s="191"/>
      <c r="K79" s="191"/>
      <c r="L79" s="221"/>
      <c r="M79" s="221"/>
      <c r="N79" s="221"/>
      <c r="O79" s="221"/>
      <c r="P79" s="221"/>
    </row>
    <row r="80" spans="1:16" ht="15">
      <c r="A80" s="217"/>
      <c r="B80" s="218"/>
      <c r="C80" s="221"/>
      <c r="D80" s="222"/>
      <c r="E80" s="223"/>
      <c r="F80" s="221"/>
      <c r="G80" s="221">
        <f t="shared" si="2"/>
        <v>0</v>
      </c>
      <c r="H80" s="191"/>
      <c r="I80" s="191"/>
      <c r="J80" s="191"/>
      <c r="K80" s="191"/>
      <c r="L80" s="221"/>
      <c r="M80" s="221"/>
      <c r="N80" s="221"/>
      <c r="O80" s="221"/>
      <c r="P80" s="221"/>
    </row>
    <row r="81" spans="1:16" ht="15">
      <c r="A81" s="217"/>
      <c r="B81" s="218"/>
      <c r="C81" s="221"/>
      <c r="D81" s="222"/>
      <c r="E81" s="223"/>
      <c r="F81" s="221"/>
      <c r="G81" s="221">
        <f t="shared" si="2"/>
        <v>0</v>
      </c>
      <c r="H81" s="191"/>
      <c r="I81" s="191"/>
      <c r="J81" s="191"/>
      <c r="K81" s="191"/>
      <c r="L81" s="221"/>
      <c r="M81" s="221"/>
      <c r="N81" s="221"/>
      <c r="O81" s="221"/>
      <c r="P81" s="221"/>
    </row>
    <row r="82" spans="1:16" ht="15">
      <c r="A82" s="217"/>
      <c r="B82" s="218"/>
      <c r="C82" s="221"/>
      <c r="D82" s="222"/>
      <c r="E82" s="223"/>
      <c r="F82" s="221"/>
      <c r="G82" s="221"/>
      <c r="H82" s="191"/>
      <c r="I82" s="191"/>
      <c r="J82" s="191"/>
      <c r="K82" s="191"/>
      <c r="L82" s="221"/>
      <c r="M82" s="221"/>
      <c r="N82" s="221"/>
      <c r="O82" s="221"/>
      <c r="P82" s="221"/>
    </row>
    <row r="83" spans="1:16" ht="15">
      <c r="A83" s="217"/>
      <c r="B83" s="218"/>
      <c r="C83" s="221"/>
      <c r="D83" s="222"/>
      <c r="E83" s="223"/>
      <c r="F83" s="221"/>
      <c r="G83" s="221"/>
      <c r="H83" s="191"/>
      <c r="I83" s="191"/>
      <c r="J83" s="191"/>
      <c r="K83" s="191"/>
      <c r="L83" s="221"/>
      <c r="M83" s="221"/>
      <c r="N83" s="221"/>
      <c r="O83" s="221"/>
      <c r="P83" s="221"/>
    </row>
    <row r="84" spans="1:16" ht="15">
      <c r="A84" s="217"/>
      <c r="B84" s="218"/>
      <c r="C84" s="221"/>
      <c r="D84" s="222"/>
      <c r="E84" s="223"/>
      <c r="F84" s="221"/>
      <c r="G84" s="221"/>
      <c r="H84" s="191"/>
      <c r="I84" s="191"/>
      <c r="J84" s="191"/>
      <c r="K84" s="191"/>
      <c r="L84" s="221"/>
      <c r="M84" s="221"/>
      <c r="N84" s="221"/>
      <c r="O84" s="221"/>
      <c r="P84" s="221"/>
    </row>
    <row r="85" spans="1:16" ht="15">
      <c r="A85" s="217"/>
      <c r="B85" s="218"/>
      <c r="C85" s="221"/>
      <c r="D85" s="222"/>
      <c r="E85" s="223"/>
      <c r="F85" s="221"/>
      <c r="G85" s="221"/>
      <c r="H85" s="191"/>
      <c r="I85" s="191"/>
      <c r="J85" s="191"/>
      <c r="K85" s="191"/>
      <c r="L85" s="221"/>
      <c r="M85" s="221"/>
      <c r="N85" s="221"/>
      <c r="O85" s="221"/>
      <c r="P85" s="221"/>
    </row>
    <row r="86" spans="1:16" ht="15">
      <c r="A86" s="217"/>
      <c r="B86" s="218"/>
      <c r="C86" s="221"/>
      <c r="D86" s="222"/>
      <c r="E86" s="223"/>
      <c r="F86" s="221"/>
      <c r="G86" s="221"/>
      <c r="H86" s="191"/>
      <c r="I86" s="191"/>
      <c r="J86" s="191"/>
      <c r="K86" s="191"/>
      <c r="L86" s="221"/>
      <c r="M86" s="221"/>
      <c r="N86" s="221"/>
      <c r="O86" s="221"/>
      <c r="P86" s="221"/>
    </row>
    <row r="87" spans="1:16" ht="15">
      <c r="A87" s="217"/>
      <c r="B87" s="218"/>
      <c r="C87" s="221"/>
      <c r="D87" s="222"/>
      <c r="E87" s="223"/>
      <c r="F87" s="221"/>
      <c r="G87" s="221"/>
      <c r="H87" s="191"/>
      <c r="I87" s="191"/>
      <c r="J87" s="191"/>
      <c r="K87" s="191"/>
      <c r="L87" s="221"/>
      <c r="M87" s="221"/>
      <c r="N87" s="221"/>
      <c r="O87" s="221"/>
      <c r="P87" s="221"/>
    </row>
    <row r="88" spans="1:16" ht="15">
      <c r="A88" s="217"/>
      <c r="B88" s="218"/>
      <c r="C88" s="221"/>
      <c r="D88" s="222"/>
      <c r="E88" s="223"/>
      <c r="F88" s="221"/>
      <c r="G88" s="221"/>
      <c r="H88" s="191"/>
      <c r="I88" s="191"/>
      <c r="J88" s="191"/>
      <c r="K88" s="191"/>
      <c r="L88" s="221"/>
      <c r="M88" s="221"/>
      <c r="N88" s="221"/>
      <c r="O88" s="221"/>
      <c r="P88" s="221"/>
    </row>
    <row r="89" spans="1:16" ht="15">
      <c r="A89" s="217"/>
      <c r="B89" s="218"/>
      <c r="C89" s="221"/>
      <c r="D89" s="222"/>
      <c r="E89" s="223"/>
      <c r="F89" s="221"/>
      <c r="G89" s="221"/>
      <c r="H89" s="191"/>
      <c r="I89" s="191"/>
      <c r="J89" s="191"/>
      <c r="K89" s="191"/>
      <c r="L89" s="221"/>
      <c r="M89" s="221"/>
      <c r="N89" s="221"/>
      <c r="O89" s="221"/>
      <c r="P89" s="221"/>
    </row>
    <row r="90" spans="1:16" ht="15">
      <c r="A90" s="217"/>
      <c r="B90" s="218"/>
      <c r="C90" s="221"/>
      <c r="D90" s="222"/>
      <c r="E90" s="223"/>
      <c r="F90" s="221"/>
      <c r="G90" s="221"/>
      <c r="H90" s="191"/>
      <c r="I90" s="191"/>
      <c r="J90" s="191"/>
      <c r="K90" s="191"/>
      <c r="L90" s="221"/>
      <c r="M90" s="221"/>
      <c r="N90" s="221"/>
      <c r="O90" s="221"/>
      <c r="P90" s="221"/>
    </row>
    <row r="91" spans="1:16" ht="15">
      <c r="A91" s="217"/>
      <c r="B91" s="218"/>
      <c r="C91" s="221"/>
      <c r="D91" s="222"/>
      <c r="E91" s="223"/>
      <c r="F91" s="221"/>
      <c r="G91" s="221"/>
      <c r="H91" s="191"/>
      <c r="I91" s="191"/>
      <c r="J91" s="191"/>
      <c r="K91" s="191"/>
      <c r="L91" s="221"/>
      <c r="M91" s="221"/>
      <c r="N91" s="221"/>
      <c r="O91" s="221"/>
      <c r="P91" s="221"/>
    </row>
    <row r="92" spans="1:16" ht="15">
      <c r="A92" s="217"/>
      <c r="B92" s="218"/>
      <c r="C92" s="221"/>
      <c r="D92" s="222"/>
      <c r="E92" s="223"/>
      <c r="F92" s="221"/>
      <c r="G92" s="221"/>
      <c r="H92" s="191"/>
      <c r="I92" s="191"/>
      <c r="J92" s="191"/>
      <c r="K92" s="191"/>
      <c r="L92" s="221"/>
      <c r="M92" s="221"/>
      <c r="N92" s="221"/>
      <c r="O92" s="221"/>
      <c r="P92" s="221"/>
    </row>
    <row r="93" spans="1:16" ht="15">
      <c r="A93" s="217"/>
      <c r="B93" s="218"/>
      <c r="C93" s="221"/>
      <c r="D93" s="222"/>
      <c r="E93" s="223"/>
      <c r="F93" s="221"/>
      <c r="G93" s="221"/>
      <c r="H93" s="191"/>
      <c r="I93" s="191"/>
      <c r="J93" s="191"/>
      <c r="K93" s="191"/>
      <c r="L93" s="221"/>
      <c r="M93" s="221"/>
      <c r="N93" s="221"/>
      <c r="O93" s="221"/>
      <c r="P93" s="221"/>
    </row>
    <row r="94" spans="1:16" ht="15">
      <c r="A94" s="217"/>
      <c r="B94" s="218"/>
      <c r="C94" s="221"/>
      <c r="D94" s="222"/>
      <c r="E94" s="223"/>
      <c r="F94" s="221"/>
      <c r="G94" s="221"/>
      <c r="H94" s="191"/>
      <c r="I94" s="191"/>
      <c r="J94" s="191"/>
      <c r="K94" s="191"/>
      <c r="L94" s="221"/>
      <c r="M94" s="221"/>
      <c r="N94" s="221"/>
      <c r="O94" s="221"/>
      <c r="P94" s="221"/>
    </row>
    <row r="95" spans="1:16" ht="15">
      <c r="A95" s="217"/>
      <c r="B95" s="218"/>
      <c r="C95" s="221"/>
      <c r="D95" s="222"/>
      <c r="E95" s="223"/>
      <c r="F95" s="221"/>
      <c r="G95" s="221"/>
      <c r="H95" s="191"/>
      <c r="I95" s="191"/>
      <c r="J95" s="191"/>
      <c r="K95" s="191"/>
      <c r="L95" s="221"/>
      <c r="M95" s="221"/>
      <c r="N95" s="221"/>
      <c r="O95" s="221"/>
      <c r="P95" s="221"/>
    </row>
    <row r="96" spans="1:16" ht="15">
      <c r="A96" s="217"/>
      <c r="B96" s="218"/>
      <c r="C96" s="221"/>
      <c r="D96" s="222"/>
      <c r="E96" s="223"/>
      <c r="F96" s="221"/>
      <c r="G96" s="221"/>
      <c r="H96" s="191"/>
      <c r="I96" s="191"/>
      <c r="J96" s="191"/>
      <c r="K96" s="191"/>
      <c r="L96" s="221"/>
      <c r="M96" s="221"/>
      <c r="N96" s="221"/>
      <c r="O96" s="221"/>
      <c r="P96" s="221"/>
    </row>
    <row r="97" spans="1:16" ht="15">
      <c r="A97" s="217"/>
      <c r="B97" s="218"/>
      <c r="C97" s="221"/>
      <c r="D97" s="222"/>
      <c r="E97" s="223"/>
      <c r="F97" s="221"/>
      <c r="G97" s="221"/>
      <c r="H97" s="191"/>
      <c r="I97" s="191"/>
      <c r="J97" s="191"/>
      <c r="K97" s="191"/>
      <c r="L97" s="221"/>
      <c r="M97" s="221"/>
      <c r="N97" s="221"/>
      <c r="O97" s="221"/>
      <c r="P97" s="221"/>
    </row>
    <row r="98" spans="1:16" ht="15">
      <c r="A98" s="217"/>
      <c r="B98" s="218"/>
      <c r="C98" s="221"/>
      <c r="D98" s="222"/>
      <c r="E98" s="223"/>
      <c r="F98" s="221"/>
      <c r="G98" s="221"/>
      <c r="H98" s="191"/>
      <c r="I98" s="191"/>
      <c r="J98" s="191"/>
      <c r="K98" s="191"/>
      <c r="L98" s="221"/>
      <c r="M98" s="221"/>
      <c r="N98" s="221"/>
      <c r="O98" s="221"/>
      <c r="P98" s="221"/>
    </row>
    <row r="99" spans="1:16" ht="15">
      <c r="A99" s="217"/>
      <c r="B99" s="218"/>
      <c r="C99" s="221"/>
      <c r="D99" s="222"/>
      <c r="E99" s="223"/>
      <c r="F99" s="221"/>
      <c r="G99" s="221"/>
      <c r="H99" s="191"/>
      <c r="I99" s="191"/>
      <c r="J99" s="191"/>
      <c r="K99" s="191"/>
      <c r="L99" s="221"/>
      <c r="M99" s="221"/>
      <c r="N99" s="221"/>
      <c r="O99" s="221"/>
      <c r="P99" s="221"/>
    </row>
    <row r="100" spans="1:16" ht="15">
      <c r="A100" s="217"/>
      <c r="B100" s="218"/>
      <c r="C100" s="221"/>
      <c r="D100" s="222"/>
      <c r="E100" s="223"/>
      <c r="F100" s="221"/>
      <c r="G100" s="221"/>
      <c r="H100" s="191"/>
      <c r="I100" s="191"/>
      <c r="J100" s="191"/>
      <c r="K100" s="191"/>
      <c r="L100" s="221"/>
      <c r="M100" s="221"/>
      <c r="N100" s="221"/>
      <c r="O100" s="221"/>
      <c r="P100" s="221"/>
    </row>
    <row r="101" spans="1:16" ht="15">
      <c r="A101" s="217"/>
      <c r="B101" s="218"/>
      <c r="C101" s="221"/>
      <c r="D101" s="222"/>
      <c r="E101" s="223"/>
      <c r="F101" s="221"/>
      <c r="G101" s="221"/>
      <c r="H101" s="191"/>
      <c r="I101" s="191"/>
      <c r="J101" s="191"/>
      <c r="K101" s="191"/>
      <c r="L101" s="221"/>
      <c r="M101" s="221"/>
      <c r="N101" s="221"/>
      <c r="O101" s="221"/>
      <c r="P101" s="221"/>
    </row>
    <row r="102" spans="1:16" ht="15">
      <c r="A102" s="217"/>
      <c r="B102" s="218"/>
      <c r="C102" s="221"/>
      <c r="D102" s="222"/>
      <c r="E102" s="223"/>
      <c r="F102" s="221"/>
      <c r="G102" s="221"/>
      <c r="H102" s="191"/>
      <c r="I102" s="191"/>
      <c r="J102" s="191"/>
      <c r="K102" s="191"/>
      <c r="L102" s="221"/>
      <c r="M102" s="221"/>
      <c r="N102" s="221"/>
      <c r="O102" s="221"/>
      <c r="P102" s="221"/>
    </row>
    <row r="103" spans="1:16" ht="15">
      <c r="A103" s="217"/>
      <c r="B103" s="218"/>
      <c r="C103" s="221"/>
      <c r="D103" s="222"/>
      <c r="E103" s="223"/>
      <c r="F103" s="221"/>
      <c r="G103" s="221"/>
      <c r="H103" s="191"/>
      <c r="I103" s="191"/>
      <c r="J103" s="191"/>
      <c r="K103" s="191"/>
      <c r="L103" s="221"/>
      <c r="M103" s="221"/>
      <c r="N103" s="221"/>
      <c r="O103" s="221"/>
      <c r="P103" s="221"/>
    </row>
    <row r="104" spans="1:16" ht="15">
      <c r="A104" s="217"/>
      <c r="B104" s="218"/>
      <c r="C104" s="221"/>
      <c r="D104" s="222"/>
      <c r="E104" s="223"/>
      <c r="F104" s="221"/>
      <c r="G104" s="221"/>
      <c r="H104" s="191"/>
      <c r="I104" s="191"/>
      <c r="J104" s="191"/>
      <c r="K104" s="191"/>
      <c r="L104" s="221"/>
      <c r="M104" s="221"/>
      <c r="N104" s="221"/>
      <c r="O104" s="221"/>
      <c r="P104" s="221"/>
    </row>
    <row r="105" spans="1:16" ht="15">
      <c r="A105" s="217"/>
      <c r="B105" s="218"/>
      <c r="C105" s="221"/>
      <c r="D105" s="222"/>
      <c r="E105" s="223"/>
      <c r="F105" s="221"/>
      <c r="G105" s="221"/>
      <c r="H105" s="191"/>
      <c r="I105" s="191"/>
      <c r="J105" s="191"/>
      <c r="K105" s="191"/>
      <c r="L105" s="221"/>
      <c r="M105" s="221"/>
      <c r="N105" s="221"/>
      <c r="O105" s="221"/>
      <c r="P105" s="221"/>
    </row>
    <row r="106" spans="1:16" ht="15">
      <c r="A106" s="217"/>
      <c r="B106" s="218"/>
      <c r="C106" s="221"/>
      <c r="D106" s="222"/>
      <c r="E106" s="223"/>
      <c r="F106" s="221"/>
      <c r="G106" s="221"/>
      <c r="H106" s="191"/>
      <c r="I106" s="191"/>
      <c r="J106" s="191"/>
      <c r="K106" s="191"/>
      <c r="L106" s="221"/>
      <c r="M106" s="221"/>
      <c r="N106" s="221"/>
      <c r="O106" s="221"/>
      <c r="P106" s="221"/>
    </row>
    <row r="107" spans="1:16" ht="15">
      <c r="A107" s="217"/>
      <c r="B107" s="218"/>
      <c r="C107" s="221"/>
      <c r="D107" s="222"/>
      <c r="E107" s="223"/>
      <c r="F107" s="221"/>
      <c r="G107" s="221"/>
      <c r="H107" s="191"/>
      <c r="I107" s="191"/>
      <c r="J107" s="191"/>
      <c r="K107" s="191"/>
      <c r="L107" s="221"/>
      <c r="M107" s="221"/>
      <c r="N107" s="221"/>
      <c r="O107" s="221"/>
      <c r="P107" s="221"/>
    </row>
    <row r="108" spans="1:16" ht="15">
      <c r="A108" s="217"/>
      <c r="B108" s="218"/>
      <c r="C108" s="221"/>
      <c r="D108" s="222"/>
      <c r="E108" s="223"/>
      <c r="F108" s="221"/>
      <c r="G108" s="221"/>
      <c r="H108" s="191"/>
      <c r="I108" s="191"/>
      <c r="J108" s="191"/>
      <c r="K108" s="191"/>
      <c r="L108" s="221"/>
      <c r="M108" s="221"/>
      <c r="N108" s="221"/>
      <c r="O108" s="221"/>
      <c r="P108" s="221"/>
    </row>
    <row r="109" spans="1:16" ht="15">
      <c r="A109" s="217"/>
      <c r="B109" s="218"/>
      <c r="C109" s="221"/>
      <c r="D109" s="222"/>
      <c r="E109" s="223"/>
      <c r="F109" s="221"/>
      <c r="G109" s="221"/>
      <c r="H109" s="191"/>
      <c r="I109" s="191"/>
      <c r="J109" s="191"/>
      <c r="K109" s="191"/>
      <c r="L109" s="221"/>
      <c r="M109" s="221"/>
      <c r="N109" s="221"/>
      <c r="O109" s="221"/>
      <c r="P109" s="221"/>
    </row>
    <row r="110" spans="1:16" ht="15">
      <c r="A110" s="217"/>
      <c r="B110" s="218"/>
      <c r="C110" s="221"/>
      <c r="D110" s="222"/>
      <c r="E110" s="223"/>
      <c r="F110" s="221"/>
      <c r="G110" s="221"/>
      <c r="H110" s="191"/>
      <c r="I110" s="191"/>
      <c r="J110" s="191"/>
      <c r="K110" s="191"/>
      <c r="L110" s="221"/>
      <c r="M110" s="221"/>
      <c r="N110" s="221"/>
      <c r="O110" s="221"/>
      <c r="P110" s="221"/>
    </row>
    <row r="111" spans="1:16" ht="15">
      <c r="A111" s="217"/>
      <c r="B111" s="218"/>
      <c r="C111" s="221"/>
      <c r="D111" s="222"/>
      <c r="E111" s="223"/>
      <c r="F111" s="221"/>
      <c r="G111" s="221"/>
      <c r="H111" s="191"/>
      <c r="I111" s="191"/>
      <c r="J111" s="191"/>
      <c r="K111" s="191"/>
      <c r="L111" s="221"/>
      <c r="M111" s="221"/>
      <c r="N111" s="221"/>
      <c r="O111" s="221"/>
      <c r="P111" s="221"/>
    </row>
    <row r="112" spans="1:16" ht="15">
      <c r="A112" s="217"/>
      <c r="B112" s="218"/>
      <c r="C112" s="221"/>
      <c r="D112" s="222"/>
      <c r="E112" s="223"/>
      <c r="F112" s="221"/>
      <c r="G112" s="221"/>
      <c r="H112" s="191"/>
      <c r="I112" s="191"/>
      <c r="J112" s="191"/>
      <c r="K112" s="191"/>
      <c r="L112" s="221"/>
      <c r="M112" s="221"/>
      <c r="N112" s="221"/>
      <c r="O112" s="221"/>
      <c r="P112" s="221"/>
    </row>
    <row r="113" spans="1:16" ht="15">
      <c r="A113" s="217"/>
      <c r="B113" s="218"/>
      <c r="C113" s="221"/>
      <c r="D113" s="222"/>
      <c r="E113" s="223"/>
      <c r="F113" s="221"/>
      <c r="G113" s="221"/>
      <c r="H113" s="191"/>
      <c r="I113" s="191"/>
      <c r="J113" s="191"/>
      <c r="K113" s="191"/>
      <c r="L113" s="221"/>
      <c r="M113" s="221"/>
      <c r="N113" s="221"/>
      <c r="O113" s="221"/>
      <c r="P113" s="221"/>
    </row>
    <row r="114" spans="1:16" ht="15">
      <c r="A114" s="217"/>
      <c r="B114" s="218"/>
      <c r="C114" s="221"/>
      <c r="D114" s="222"/>
      <c r="E114" s="223"/>
      <c r="F114" s="221"/>
      <c r="G114" s="221"/>
      <c r="H114" s="191"/>
      <c r="I114" s="191"/>
      <c r="J114" s="191"/>
      <c r="K114" s="191"/>
      <c r="L114" s="221"/>
      <c r="M114" s="221"/>
      <c r="N114" s="221"/>
      <c r="O114" s="221"/>
      <c r="P114" s="221"/>
    </row>
    <row r="115" spans="1:16" ht="15">
      <c r="A115" s="217"/>
      <c r="B115" s="218"/>
      <c r="C115" s="221"/>
      <c r="D115" s="222"/>
      <c r="E115" s="223"/>
      <c r="F115" s="221"/>
      <c r="G115" s="221"/>
      <c r="H115" s="191"/>
      <c r="I115" s="191"/>
      <c r="J115" s="191"/>
      <c r="K115" s="191"/>
      <c r="L115" s="221"/>
      <c r="M115" s="221"/>
      <c r="N115" s="221"/>
      <c r="O115" s="221"/>
      <c r="P115" s="221"/>
    </row>
    <row r="116" spans="1:16" ht="15">
      <c r="A116" s="217"/>
      <c r="B116" s="218"/>
      <c r="C116" s="221"/>
      <c r="D116" s="222"/>
      <c r="E116" s="223"/>
      <c r="F116" s="221"/>
      <c r="G116" s="221"/>
      <c r="H116" s="191"/>
      <c r="I116" s="191"/>
      <c r="J116" s="191"/>
      <c r="K116" s="191"/>
      <c r="L116" s="221"/>
      <c r="M116" s="221"/>
      <c r="N116" s="221"/>
      <c r="O116" s="221"/>
      <c r="P116" s="221"/>
    </row>
    <row r="117" spans="1:16" ht="15">
      <c r="A117" s="217"/>
      <c r="B117" s="218"/>
      <c r="C117" s="221"/>
      <c r="D117" s="222"/>
      <c r="E117" s="223"/>
      <c r="F117" s="221"/>
      <c r="G117" s="221"/>
      <c r="H117" s="191"/>
      <c r="I117" s="191"/>
      <c r="J117" s="191"/>
      <c r="K117" s="191"/>
      <c r="L117" s="221"/>
      <c r="M117" s="221"/>
      <c r="N117" s="221"/>
      <c r="O117" s="221"/>
      <c r="P117" s="221"/>
    </row>
    <row r="118" spans="1:16" ht="15">
      <c r="A118" s="217"/>
      <c r="B118" s="218"/>
      <c r="C118" s="221"/>
      <c r="D118" s="222"/>
      <c r="E118" s="223"/>
      <c r="F118" s="221"/>
      <c r="G118" s="221"/>
      <c r="H118" s="191"/>
      <c r="I118" s="191"/>
      <c r="J118" s="191"/>
      <c r="K118" s="191"/>
      <c r="L118" s="221"/>
      <c r="M118" s="221"/>
      <c r="N118" s="221"/>
      <c r="O118" s="221"/>
      <c r="P118" s="221"/>
    </row>
    <row r="119" spans="1:16" ht="15">
      <c r="A119" s="217"/>
      <c r="B119" s="218"/>
      <c r="C119" s="221"/>
      <c r="D119" s="222"/>
      <c r="E119" s="223"/>
      <c r="F119" s="221"/>
      <c r="G119" s="221"/>
      <c r="H119" s="191"/>
      <c r="I119" s="191"/>
      <c r="J119" s="191"/>
      <c r="K119" s="191"/>
      <c r="L119" s="221"/>
      <c r="M119" s="221"/>
      <c r="N119" s="221"/>
      <c r="O119" s="221"/>
      <c r="P119" s="221"/>
    </row>
    <row r="120" spans="1:16" ht="15">
      <c r="A120" s="217"/>
      <c r="B120" s="218"/>
      <c r="C120" s="221"/>
      <c r="D120" s="222"/>
      <c r="E120" s="223"/>
      <c r="F120" s="221"/>
      <c r="G120" s="221"/>
      <c r="H120" s="191"/>
      <c r="I120" s="191"/>
      <c r="J120" s="191"/>
      <c r="K120" s="191"/>
      <c r="L120" s="221"/>
      <c r="M120" s="221"/>
      <c r="N120" s="221"/>
      <c r="O120" s="221"/>
      <c r="P120" s="221"/>
    </row>
    <row r="121" spans="1:16" ht="15">
      <c r="A121" s="217"/>
      <c r="B121" s="218"/>
      <c r="C121" s="221"/>
      <c r="D121" s="222"/>
      <c r="E121" s="223"/>
      <c r="F121" s="221"/>
      <c r="G121" s="221"/>
      <c r="H121" s="191"/>
      <c r="I121" s="191"/>
      <c r="J121" s="191"/>
      <c r="K121" s="191"/>
      <c r="L121" s="221"/>
      <c r="M121" s="221"/>
      <c r="N121" s="221"/>
      <c r="O121" s="221"/>
      <c r="P121" s="221"/>
    </row>
    <row r="122" spans="1:16" ht="15">
      <c r="A122" s="217"/>
      <c r="B122" s="218"/>
      <c r="C122" s="221"/>
      <c r="D122" s="222"/>
      <c r="E122" s="223"/>
      <c r="F122" s="221"/>
      <c r="G122" s="221"/>
      <c r="H122" s="191"/>
      <c r="I122" s="191"/>
      <c r="J122" s="191"/>
      <c r="K122" s="191"/>
      <c r="L122" s="221"/>
      <c r="M122" s="221"/>
      <c r="N122" s="221"/>
      <c r="O122" s="221"/>
      <c r="P122" s="221"/>
    </row>
    <row r="123" spans="1:16" ht="15">
      <c r="A123" s="217"/>
      <c r="B123" s="218"/>
      <c r="C123" s="221"/>
      <c r="D123" s="222"/>
      <c r="E123" s="223"/>
      <c r="F123" s="221"/>
      <c r="G123" s="221"/>
      <c r="H123" s="191"/>
      <c r="I123" s="191"/>
      <c r="J123" s="191"/>
      <c r="K123" s="191"/>
      <c r="L123" s="221"/>
      <c r="M123" s="221"/>
      <c r="N123" s="221"/>
      <c r="O123" s="221"/>
      <c r="P123" s="221"/>
    </row>
    <row r="124" spans="1:16" ht="15">
      <c r="A124" s="217"/>
      <c r="B124" s="218"/>
      <c r="C124" s="221"/>
      <c r="D124" s="222"/>
      <c r="E124" s="223"/>
      <c r="F124" s="221"/>
      <c r="G124" s="221"/>
      <c r="H124" s="191"/>
      <c r="I124" s="191"/>
      <c r="J124" s="191"/>
      <c r="K124" s="191"/>
      <c r="L124" s="221"/>
      <c r="M124" s="221"/>
      <c r="N124" s="221"/>
      <c r="O124" s="221"/>
      <c r="P124" s="221"/>
    </row>
    <row r="125" spans="1:16" ht="15">
      <c r="A125" s="217"/>
      <c r="B125" s="218"/>
      <c r="C125" s="221"/>
      <c r="D125" s="222"/>
      <c r="E125" s="223"/>
      <c r="F125" s="221"/>
      <c r="G125" s="221"/>
      <c r="H125" s="191"/>
      <c r="I125" s="191"/>
      <c r="J125" s="191"/>
      <c r="K125" s="191"/>
      <c r="L125" s="221"/>
      <c r="M125" s="221"/>
      <c r="N125" s="221"/>
      <c r="O125" s="221"/>
      <c r="P125" s="221"/>
    </row>
    <row r="126" spans="1:16" ht="15">
      <c r="A126" s="217"/>
      <c r="B126" s="218"/>
      <c r="C126" s="221"/>
      <c r="D126" s="222"/>
      <c r="E126" s="223"/>
      <c r="F126" s="221"/>
      <c r="G126" s="221"/>
      <c r="H126" s="191"/>
      <c r="I126" s="191"/>
      <c r="J126" s="191"/>
      <c r="K126" s="191"/>
      <c r="L126" s="221"/>
      <c r="M126" s="221"/>
      <c r="N126" s="221"/>
      <c r="O126" s="221"/>
      <c r="P126" s="221"/>
    </row>
    <row r="127" spans="1:16" ht="15">
      <c r="A127" s="217"/>
      <c r="B127" s="218"/>
      <c r="C127" s="221"/>
      <c r="D127" s="222"/>
      <c r="E127" s="223"/>
      <c r="F127" s="221"/>
      <c r="G127" s="221"/>
      <c r="H127" s="191"/>
      <c r="I127" s="191"/>
      <c r="J127" s="191"/>
      <c r="K127" s="191"/>
      <c r="L127" s="221"/>
      <c r="M127" s="221"/>
      <c r="N127" s="221"/>
      <c r="O127" s="221"/>
      <c r="P127" s="221"/>
    </row>
    <row r="128" spans="1:16" ht="15">
      <c r="A128" s="217"/>
      <c r="B128" s="218"/>
      <c r="C128" s="221"/>
      <c r="D128" s="222"/>
      <c r="E128" s="223"/>
      <c r="F128" s="221"/>
      <c r="G128" s="221"/>
      <c r="H128" s="191"/>
      <c r="I128" s="191"/>
      <c r="J128" s="191"/>
      <c r="K128" s="191"/>
      <c r="L128" s="221"/>
      <c r="M128" s="221"/>
      <c r="N128" s="221"/>
      <c r="O128" s="221"/>
      <c r="P128" s="221"/>
    </row>
    <row r="129" spans="1:16" ht="15">
      <c r="A129" s="217"/>
      <c r="B129" s="218"/>
      <c r="C129" s="221"/>
      <c r="D129" s="222"/>
      <c r="E129" s="223"/>
      <c r="F129" s="221"/>
      <c r="G129" s="221"/>
      <c r="H129" s="191"/>
      <c r="I129" s="191"/>
      <c r="J129" s="191"/>
      <c r="K129" s="191"/>
      <c r="L129" s="221"/>
      <c r="M129" s="221"/>
      <c r="N129" s="221"/>
      <c r="O129" s="221"/>
      <c r="P129" s="221"/>
    </row>
    <row r="130" spans="1:16" ht="15">
      <c r="A130" s="217"/>
      <c r="B130" s="218"/>
      <c r="C130" s="221"/>
      <c r="D130" s="222"/>
      <c r="E130" s="223"/>
      <c r="F130" s="221"/>
      <c r="G130" s="221"/>
      <c r="H130" s="191"/>
      <c r="I130" s="191"/>
      <c r="J130" s="191"/>
      <c r="K130" s="191"/>
      <c r="L130" s="221"/>
      <c r="M130" s="221"/>
      <c r="N130" s="221"/>
      <c r="O130" s="221"/>
      <c r="P130" s="221"/>
    </row>
    <row r="131" spans="1:16" ht="15">
      <c r="A131" s="217"/>
      <c r="B131" s="218"/>
      <c r="C131" s="221"/>
      <c r="D131" s="222"/>
      <c r="E131" s="223"/>
      <c r="F131" s="221"/>
      <c r="G131" s="221"/>
      <c r="H131" s="191"/>
      <c r="I131" s="191"/>
      <c r="J131" s="191"/>
      <c r="K131" s="191"/>
      <c r="L131" s="221"/>
      <c r="M131" s="221"/>
      <c r="N131" s="221"/>
      <c r="O131" s="221"/>
      <c r="P131" s="221"/>
    </row>
    <row r="132" spans="1:16" ht="15">
      <c r="A132" s="217"/>
      <c r="B132" s="218"/>
      <c r="C132" s="221"/>
      <c r="D132" s="222"/>
      <c r="E132" s="223"/>
      <c r="F132" s="221"/>
      <c r="G132" s="221"/>
      <c r="H132" s="191"/>
      <c r="I132" s="191"/>
      <c r="J132" s="191"/>
      <c r="K132" s="191"/>
      <c r="L132" s="221"/>
      <c r="M132" s="221"/>
      <c r="N132" s="221"/>
      <c r="O132" s="221"/>
      <c r="P132" s="221"/>
    </row>
    <row r="133" spans="1:16" ht="15">
      <c r="A133" s="217"/>
      <c r="B133" s="218"/>
      <c r="C133" s="221"/>
      <c r="D133" s="222"/>
      <c r="E133" s="223"/>
      <c r="F133" s="221"/>
      <c r="G133" s="221"/>
      <c r="H133" s="191"/>
      <c r="I133" s="191"/>
      <c r="J133" s="191"/>
      <c r="K133" s="191"/>
      <c r="L133" s="221"/>
      <c r="M133" s="221"/>
      <c r="N133" s="221"/>
      <c r="O133" s="221"/>
      <c r="P133" s="221"/>
    </row>
    <row r="134" spans="1:16" ht="15">
      <c r="A134" s="217"/>
      <c r="B134" s="218"/>
      <c r="C134" s="221"/>
      <c r="D134" s="222"/>
      <c r="E134" s="223"/>
      <c r="F134" s="221"/>
      <c r="G134" s="221"/>
      <c r="H134" s="191"/>
      <c r="I134" s="191"/>
      <c r="J134" s="191"/>
      <c r="K134" s="191"/>
      <c r="L134" s="221"/>
      <c r="M134" s="221"/>
      <c r="N134" s="221"/>
      <c r="O134" s="221"/>
      <c r="P134" s="221"/>
    </row>
    <row r="135" spans="1:16" ht="15">
      <c r="A135" s="217"/>
      <c r="B135" s="218"/>
      <c r="C135" s="221"/>
      <c r="D135" s="222"/>
      <c r="E135" s="223"/>
      <c r="F135" s="221"/>
      <c r="G135" s="221"/>
      <c r="H135" s="191"/>
      <c r="I135" s="191"/>
      <c r="J135" s="191"/>
      <c r="K135" s="191"/>
      <c r="L135" s="221"/>
      <c r="M135" s="221"/>
      <c r="N135" s="221"/>
      <c r="O135" s="221"/>
      <c r="P135" s="221"/>
    </row>
    <row r="136" spans="1:16" ht="15">
      <c r="A136" s="217"/>
      <c r="B136" s="218"/>
      <c r="C136" s="221"/>
      <c r="D136" s="222"/>
      <c r="E136" s="223"/>
      <c r="F136" s="221"/>
      <c r="G136" s="221"/>
      <c r="H136" s="191"/>
      <c r="I136" s="191"/>
      <c r="J136" s="191"/>
      <c r="K136" s="191"/>
      <c r="L136" s="221"/>
      <c r="M136" s="221"/>
      <c r="N136" s="221"/>
      <c r="O136" s="221"/>
      <c r="P136" s="221"/>
    </row>
    <row r="137" spans="1:16" ht="15">
      <c r="A137" s="217"/>
      <c r="B137" s="218"/>
      <c r="C137" s="221"/>
      <c r="D137" s="222"/>
      <c r="E137" s="223"/>
      <c r="F137" s="221"/>
      <c r="G137" s="221"/>
      <c r="H137" s="191"/>
      <c r="I137" s="191"/>
      <c r="J137" s="191"/>
      <c r="K137" s="191"/>
      <c r="L137" s="221"/>
      <c r="M137" s="221"/>
      <c r="N137" s="221"/>
      <c r="O137" s="221"/>
      <c r="P137" s="221"/>
    </row>
    <row r="138" spans="1:16" ht="15">
      <c r="A138" s="217"/>
      <c r="B138" s="218"/>
      <c r="C138" s="221"/>
      <c r="D138" s="222"/>
      <c r="E138" s="223"/>
      <c r="F138" s="221"/>
      <c r="G138" s="221"/>
      <c r="H138" s="191"/>
      <c r="I138" s="191"/>
      <c r="J138" s="191"/>
      <c r="K138" s="191"/>
      <c r="L138" s="221"/>
      <c r="M138" s="221"/>
      <c r="N138" s="221"/>
      <c r="O138" s="221"/>
      <c r="P138" s="221"/>
    </row>
    <row r="139" spans="1:16" ht="15">
      <c r="A139" s="217"/>
      <c r="B139" s="218"/>
      <c r="C139" s="221"/>
      <c r="D139" s="222"/>
      <c r="E139" s="223"/>
      <c r="F139" s="221"/>
      <c r="G139" s="221"/>
      <c r="H139" s="191"/>
      <c r="I139" s="191"/>
      <c r="J139" s="191"/>
      <c r="K139" s="191"/>
      <c r="L139" s="221"/>
      <c r="M139" s="221"/>
      <c r="N139" s="221"/>
      <c r="O139" s="221"/>
      <c r="P139" s="221"/>
    </row>
    <row r="140" spans="1:16" ht="15">
      <c r="A140" s="217"/>
      <c r="B140" s="218"/>
      <c r="C140" s="221"/>
      <c r="D140" s="222"/>
      <c r="E140" s="223"/>
      <c r="F140" s="221"/>
      <c r="G140" s="221"/>
      <c r="H140" s="191"/>
      <c r="I140" s="191"/>
      <c r="J140" s="191"/>
      <c r="K140" s="191"/>
      <c r="L140" s="221"/>
      <c r="M140" s="221"/>
      <c r="N140" s="221"/>
      <c r="O140" s="221"/>
      <c r="P140" s="221"/>
    </row>
    <row r="141" spans="1:16" ht="15">
      <c r="A141" s="217"/>
      <c r="B141" s="218"/>
      <c r="C141" s="221"/>
      <c r="D141" s="222"/>
      <c r="E141" s="223"/>
      <c r="F141" s="221"/>
      <c r="G141" s="221"/>
      <c r="H141" s="191"/>
      <c r="I141" s="191"/>
      <c r="J141" s="191"/>
      <c r="K141" s="191"/>
      <c r="L141" s="221"/>
      <c r="M141" s="221"/>
      <c r="N141" s="221"/>
      <c r="O141" s="221"/>
      <c r="P141" s="221"/>
    </row>
    <row r="142" spans="1:16" ht="15">
      <c r="A142" s="217"/>
      <c r="B142" s="218"/>
      <c r="C142" s="221"/>
      <c r="D142" s="222"/>
      <c r="E142" s="223"/>
      <c r="F142" s="221"/>
      <c r="G142" s="221"/>
      <c r="H142" s="191"/>
      <c r="I142" s="191"/>
      <c r="J142" s="191"/>
      <c r="K142" s="191"/>
      <c r="L142" s="221"/>
      <c r="M142" s="221"/>
      <c r="N142" s="221"/>
      <c r="O142" s="221"/>
      <c r="P142" s="221"/>
    </row>
    <row r="143" spans="1:16" ht="15">
      <c r="A143" s="217"/>
      <c r="B143" s="218"/>
      <c r="C143" s="221"/>
      <c r="D143" s="222"/>
      <c r="E143" s="223"/>
      <c r="F143" s="221"/>
      <c r="G143" s="221"/>
      <c r="H143" s="191"/>
      <c r="I143" s="191"/>
      <c r="J143" s="191"/>
      <c r="K143" s="191"/>
      <c r="L143" s="221"/>
      <c r="M143" s="221"/>
      <c r="N143" s="221"/>
      <c r="O143" s="221"/>
      <c r="P143" s="221"/>
    </row>
    <row r="144" spans="1:16" ht="15">
      <c r="A144" s="217"/>
      <c r="B144" s="218"/>
      <c r="C144" s="221"/>
      <c r="D144" s="222"/>
      <c r="E144" s="223"/>
      <c r="F144" s="221"/>
      <c r="G144" s="221"/>
      <c r="H144" s="191"/>
      <c r="I144" s="191"/>
      <c r="J144" s="191"/>
      <c r="K144" s="191"/>
      <c r="L144" s="221"/>
      <c r="M144" s="221"/>
      <c r="N144" s="221"/>
      <c r="O144" s="221"/>
      <c r="P144" s="221"/>
    </row>
    <row r="145" spans="1:16" ht="15">
      <c r="A145" s="217"/>
      <c r="B145" s="218"/>
      <c r="C145" s="221"/>
      <c r="D145" s="222"/>
      <c r="E145" s="223"/>
      <c r="F145" s="221"/>
      <c r="G145" s="221"/>
      <c r="H145" s="191"/>
      <c r="I145" s="191"/>
      <c r="J145" s="191"/>
      <c r="K145" s="191"/>
      <c r="L145" s="221"/>
      <c r="M145" s="221"/>
      <c r="N145" s="221"/>
      <c r="O145" s="221"/>
      <c r="P145" s="221"/>
    </row>
    <row r="146" spans="1:16" ht="15">
      <c r="A146" s="217"/>
      <c r="B146" s="218"/>
      <c r="C146" s="221"/>
      <c r="D146" s="222"/>
      <c r="E146" s="223"/>
      <c r="F146" s="221"/>
      <c r="G146" s="221"/>
      <c r="H146" s="191"/>
      <c r="I146" s="191"/>
      <c r="J146" s="191"/>
      <c r="K146" s="191"/>
      <c r="L146" s="221"/>
      <c r="M146" s="221"/>
      <c r="N146" s="221"/>
      <c r="O146" s="221"/>
      <c r="P146" s="221"/>
    </row>
    <row r="147" spans="1:16" ht="15">
      <c r="A147" s="217"/>
      <c r="B147" s="218"/>
      <c r="C147" s="221"/>
      <c r="D147" s="222"/>
      <c r="E147" s="223"/>
      <c r="F147" s="221"/>
      <c r="G147" s="221"/>
      <c r="H147" s="191"/>
      <c r="I147" s="191"/>
      <c r="J147" s="191"/>
      <c r="K147" s="191"/>
      <c r="L147" s="221"/>
      <c r="M147" s="221"/>
      <c r="N147" s="221"/>
      <c r="O147" s="221"/>
      <c r="P147" s="221"/>
    </row>
    <row r="148" spans="1:16" ht="15">
      <c r="A148" s="217"/>
      <c r="B148" s="218"/>
      <c r="C148" s="221"/>
      <c r="D148" s="222"/>
      <c r="E148" s="223"/>
      <c r="F148" s="221"/>
      <c r="G148" s="221"/>
      <c r="H148" s="191"/>
      <c r="I148" s="191"/>
      <c r="J148" s="191"/>
      <c r="K148" s="191"/>
      <c r="L148" s="221"/>
      <c r="M148" s="221"/>
      <c r="N148" s="221"/>
      <c r="O148" s="221"/>
      <c r="P148" s="221"/>
    </row>
    <row r="149" spans="1:16" ht="15">
      <c r="A149" s="217"/>
      <c r="B149" s="218"/>
      <c r="C149" s="221"/>
      <c r="D149" s="222"/>
      <c r="E149" s="223"/>
      <c r="F149" s="221"/>
      <c r="G149" s="221"/>
      <c r="H149" s="191"/>
      <c r="I149" s="191"/>
      <c r="J149" s="191"/>
      <c r="K149" s="191"/>
      <c r="L149" s="221"/>
      <c r="M149" s="221"/>
      <c r="N149" s="221"/>
      <c r="O149" s="221"/>
      <c r="P149" s="221"/>
    </row>
    <row r="150" spans="1:16" ht="15">
      <c r="A150" s="217"/>
      <c r="B150" s="218"/>
      <c r="C150" s="221"/>
      <c r="D150" s="222"/>
      <c r="E150" s="223"/>
      <c r="F150" s="221"/>
      <c r="G150" s="221"/>
      <c r="H150" s="191"/>
      <c r="I150" s="191"/>
      <c r="J150" s="191"/>
      <c r="K150" s="191"/>
      <c r="L150" s="221"/>
      <c r="M150" s="221"/>
      <c r="N150" s="221"/>
      <c r="O150" s="221"/>
      <c r="P150" s="221"/>
    </row>
    <row r="151" spans="1:16" ht="15">
      <c r="A151" s="217"/>
      <c r="B151" s="218"/>
      <c r="C151" s="221"/>
      <c r="D151" s="222"/>
      <c r="E151" s="223"/>
      <c r="F151" s="221"/>
      <c r="G151" s="221"/>
      <c r="H151" s="191"/>
      <c r="I151" s="191"/>
      <c r="J151" s="191"/>
      <c r="K151" s="191"/>
      <c r="L151" s="221"/>
      <c r="M151" s="221"/>
      <c r="N151" s="221"/>
      <c r="O151" s="221"/>
      <c r="P151" s="221"/>
    </row>
    <row r="152" spans="1:16" ht="15">
      <c r="A152" s="217"/>
      <c r="B152" s="218"/>
      <c r="C152" s="221"/>
      <c r="D152" s="222"/>
      <c r="E152" s="223"/>
      <c r="F152" s="221"/>
      <c r="G152" s="221"/>
      <c r="H152" s="191"/>
      <c r="I152" s="191"/>
      <c r="J152" s="191"/>
      <c r="K152" s="191"/>
      <c r="L152" s="221"/>
      <c r="M152" s="221"/>
      <c r="N152" s="221"/>
      <c r="O152" s="221"/>
      <c r="P152" s="221"/>
    </row>
    <row r="153" spans="1:16" ht="15">
      <c r="A153" s="217"/>
      <c r="B153" s="218"/>
      <c r="C153" s="221"/>
      <c r="D153" s="222"/>
      <c r="E153" s="223"/>
      <c r="F153" s="221"/>
      <c r="G153" s="221"/>
      <c r="H153" s="191"/>
      <c r="I153" s="191"/>
      <c r="J153" s="191"/>
      <c r="K153" s="191"/>
      <c r="L153" s="221"/>
      <c r="M153" s="221"/>
      <c r="N153" s="221"/>
      <c r="O153" s="221"/>
      <c r="P153" s="221"/>
    </row>
    <row r="154" spans="1:16" ht="15">
      <c r="A154" s="217"/>
      <c r="B154" s="218"/>
      <c r="C154" s="221"/>
      <c r="D154" s="222"/>
      <c r="E154" s="223"/>
      <c r="F154" s="221"/>
      <c r="G154" s="221"/>
      <c r="H154" s="191"/>
      <c r="I154" s="191"/>
      <c r="J154" s="191"/>
      <c r="K154" s="191"/>
      <c r="L154" s="221"/>
      <c r="M154" s="221"/>
      <c r="N154" s="221"/>
      <c r="O154" s="221"/>
      <c r="P154" s="221"/>
    </row>
    <row r="155" spans="1:16" ht="15">
      <c r="A155" s="217"/>
      <c r="B155" s="218"/>
      <c r="C155" s="221"/>
      <c r="D155" s="222"/>
      <c r="E155" s="223"/>
      <c r="F155" s="221"/>
      <c r="G155" s="221"/>
      <c r="H155" s="191"/>
      <c r="I155" s="191"/>
      <c r="J155" s="191"/>
      <c r="K155" s="191"/>
      <c r="L155" s="221"/>
      <c r="M155" s="221"/>
      <c r="N155" s="221"/>
      <c r="O155" s="221"/>
      <c r="P155" s="221"/>
    </row>
    <row r="156" spans="1:16" ht="15">
      <c r="A156" s="217"/>
      <c r="B156" s="218"/>
      <c r="C156" s="221"/>
      <c r="D156" s="222"/>
      <c r="E156" s="223"/>
      <c r="F156" s="221"/>
      <c r="G156" s="221"/>
      <c r="H156" s="191"/>
      <c r="I156" s="191"/>
      <c r="J156" s="191"/>
      <c r="K156" s="191"/>
      <c r="L156" s="221"/>
      <c r="M156" s="221"/>
      <c r="N156" s="221"/>
      <c r="O156" s="221"/>
      <c r="P156" s="221"/>
    </row>
    <row r="157" spans="1:16" ht="15">
      <c r="A157" s="217"/>
      <c r="B157" s="218"/>
      <c r="C157" s="221"/>
      <c r="D157" s="222"/>
      <c r="E157" s="223"/>
      <c r="F157" s="221"/>
      <c r="G157" s="221"/>
      <c r="H157" s="191"/>
      <c r="I157" s="191"/>
      <c r="J157" s="191"/>
      <c r="K157" s="191"/>
      <c r="L157" s="221"/>
      <c r="M157" s="221"/>
      <c r="N157" s="221"/>
      <c r="O157" s="221"/>
      <c r="P157" s="221"/>
    </row>
    <row r="158" spans="1:16" ht="15">
      <c r="A158" s="217"/>
      <c r="B158" s="218"/>
      <c r="C158" s="221"/>
      <c r="D158" s="222"/>
      <c r="E158" s="223"/>
      <c r="F158" s="221"/>
      <c r="G158" s="221"/>
      <c r="H158" s="191"/>
      <c r="I158" s="191"/>
      <c r="J158" s="191"/>
      <c r="K158" s="191"/>
      <c r="L158" s="221"/>
      <c r="M158" s="221"/>
      <c r="N158" s="221"/>
      <c r="O158" s="221"/>
      <c r="P158" s="221"/>
    </row>
    <row r="159" spans="1:16" ht="15">
      <c r="A159" s="217"/>
      <c r="B159" s="218"/>
      <c r="C159" s="221"/>
      <c r="D159" s="222"/>
      <c r="E159" s="223"/>
      <c r="F159" s="221"/>
      <c r="G159" s="221"/>
      <c r="H159" s="191"/>
      <c r="I159" s="191"/>
      <c r="J159" s="191"/>
      <c r="K159" s="191"/>
      <c r="L159" s="221"/>
      <c r="M159" s="221"/>
      <c r="N159" s="221"/>
      <c r="O159" s="221"/>
      <c r="P159" s="221"/>
    </row>
    <row r="160" spans="1:16" ht="15">
      <c r="A160" s="217"/>
      <c r="B160" s="218"/>
      <c r="C160" s="221"/>
      <c r="D160" s="222"/>
      <c r="E160" s="223"/>
      <c r="F160" s="221"/>
      <c r="G160" s="221"/>
      <c r="H160" s="191"/>
      <c r="I160" s="191"/>
      <c r="J160" s="191"/>
      <c r="K160" s="191"/>
      <c r="L160" s="221"/>
      <c r="M160" s="221"/>
      <c r="N160" s="221"/>
      <c r="O160" s="221"/>
      <c r="P160" s="221"/>
    </row>
    <row r="161" spans="1:16" ht="15">
      <c r="A161" s="217"/>
      <c r="B161" s="218"/>
      <c r="C161" s="221"/>
      <c r="D161" s="222"/>
      <c r="E161" s="223"/>
      <c r="F161" s="221"/>
      <c r="G161" s="221"/>
      <c r="H161" s="191"/>
      <c r="I161" s="191"/>
      <c r="J161" s="191"/>
      <c r="K161" s="191"/>
      <c r="L161" s="221"/>
      <c r="M161" s="221"/>
      <c r="N161" s="221"/>
      <c r="O161" s="221"/>
      <c r="P161" s="221"/>
    </row>
    <row r="162" spans="1:16" ht="15">
      <c r="A162" s="217"/>
      <c r="B162" s="218"/>
      <c r="C162" s="221"/>
      <c r="D162" s="222"/>
      <c r="E162" s="223"/>
      <c r="F162" s="221"/>
      <c r="G162" s="221"/>
      <c r="H162" s="191"/>
      <c r="I162" s="191"/>
      <c r="J162" s="191"/>
      <c r="K162" s="191"/>
      <c r="L162" s="221"/>
      <c r="M162" s="221"/>
      <c r="N162" s="221"/>
      <c r="O162" s="221"/>
      <c r="P162" s="221"/>
    </row>
    <row r="163" spans="1:16" ht="15">
      <c r="A163" s="217"/>
      <c r="B163" s="218"/>
      <c r="C163" s="221"/>
      <c r="D163" s="222"/>
      <c r="E163" s="223"/>
      <c r="F163" s="221"/>
      <c r="G163" s="221"/>
      <c r="H163" s="191"/>
      <c r="I163" s="191"/>
      <c r="J163" s="191"/>
      <c r="K163" s="191"/>
      <c r="L163" s="221"/>
      <c r="M163" s="221"/>
      <c r="N163" s="221"/>
      <c r="O163" s="221"/>
      <c r="P163" s="221"/>
    </row>
    <row r="164" spans="1:16" ht="15">
      <c r="A164" s="217"/>
      <c r="B164" s="218"/>
      <c r="C164" s="221"/>
      <c r="D164" s="222"/>
      <c r="E164" s="223"/>
      <c r="F164" s="221"/>
      <c r="G164" s="221"/>
      <c r="H164" s="191"/>
      <c r="I164" s="191"/>
      <c r="J164" s="191"/>
      <c r="K164" s="191"/>
      <c r="L164" s="221"/>
      <c r="M164" s="221"/>
      <c r="N164" s="221"/>
      <c r="O164" s="221"/>
      <c r="P164" s="221"/>
    </row>
    <row r="165" spans="1:16" ht="15">
      <c r="A165" s="217"/>
      <c r="B165" s="218"/>
      <c r="C165" s="221"/>
      <c r="D165" s="222"/>
      <c r="E165" s="223"/>
      <c r="F165" s="221"/>
      <c r="G165" s="221"/>
      <c r="H165" s="191"/>
      <c r="I165" s="191"/>
      <c r="J165" s="191"/>
      <c r="K165" s="191"/>
      <c r="L165" s="221"/>
      <c r="M165" s="221"/>
      <c r="N165" s="221"/>
      <c r="O165" s="221"/>
      <c r="P165" s="221"/>
    </row>
    <row r="166" spans="1:16" ht="15">
      <c r="A166" s="217"/>
      <c r="B166" s="218"/>
      <c r="C166" s="221"/>
      <c r="D166" s="222"/>
      <c r="E166" s="223"/>
      <c r="F166" s="221"/>
      <c r="G166" s="221"/>
      <c r="H166" s="191"/>
      <c r="I166" s="191"/>
      <c r="J166" s="191"/>
      <c r="K166" s="191"/>
      <c r="L166" s="221"/>
      <c r="M166" s="221"/>
      <c r="N166" s="221"/>
      <c r="O166" s="221"/>
      <c r="P166" s="221"/>
    </row>
    <row r="167" spans="1:16" ht="15">
      <c r="A167" s="217"/>
      <c r="B167" s="218"/>
      <c r="C167" s="221"/>
      <c r="D167" s="222"/>
      <c r="E167" s="223"/>
      <c r="F167" s="221"/>
      <c r="G167" s="221"/>
      <c r="H167" s="191"/>
      <c r="I167" s="191"/>
      <c r="J167" s="191"/>
      <c r="K167" s="191"/>
      <c r="L167" s="221"/>
      <c r="M167" s="221"/>
      <c r="N167" s="221"/>
      <c r="O167" s="221"/>
      <c r="P167" s="221"/>
    </row>
    <row r="168" spans="1:16" ht="15">
      <c r="A168" s="217"/>
      <c r="B168" s="218"/>
      <c r="C168" s="221"/>
      <c r="D168" s="222"/>
      <c r="E168" s="223"/>
      <c r="F168" s="221"/>
      <c r="G168" s="221"/>
      <c r="H168" s="191"/>
      <c r="I168" s="191"/>
      <c r="J168" s="191"/>
      <c r="K168" s="191"/>
      <c r="L168" s="221"/>
      <c r="M168" s="221"/>
      <c r="N168" s="221"/>
      <c r="O168" s="221"/>
      <c r="P168" s="221"/>
    </row>
    <row r="169" spans="1:16" ht="15">
      <c r="A169" s="217"/>
      <c r="B169" s="218"/>
      <c r="C169" s="221"/>
      <c r="D169" s="222"/>
      <c r="E169" s="223"/>
      <c r="F169" s="221"/>
      <c r="G169" s="221"/>
      <c r="H169" s="191"/>
      <c r="I169" s="191"/>
      <c r="J169" s="191"/>
      <c r="K169" s="191"/>
      <c r="L169" s="221"/>
      <c r="M169" s="221"/>
      <c r="N169" s="221"/>
      <c r="O169" s="221"/>
      <c r="P169" s="221"/>
    </row>
    <row r="170" spans="1:16" ht="15">
      <c r="A170" s="217"/>
      <c r="B170" s="218"/>
      <c r="C170" s="221"/>
      <c r="D170" s="222"/>
      <c r="E170" s="223"/>
      <c r="F170" s="221"/>
      <c r="G170" s="221"/>
      <c r="H170" s="191"/>
      <c r="I170" s="191"/>
      <c r="J170" s="191"/>
      <c r="K170" s="191"/>
      <c r="L170" s="221"/>
      <c r="M170" s="221"/>
      <c r="N170" s="221"/>
      <c r="O170" s="221"/>
      <c r="P170" s="221"/>
    </row>
    <row r="171" spans="1:16" ht="15">
      <c r="A171" s="217"/>
      <c r="B171" s="218"/>
      <c r="C171" s="221"/>
      <c r="D171" s="222"/>
      <c r="E171" s="223"/>
      <c r="F171" s="221"/>
      <c r="G171" s="221"/>
      <c r="H171" s="191"/>
      <c r="I171" s="191"/>
      <c r="J171" s="191"/>
      <c r="K171" s="191"/>
      <c r="L171" s="221"/>
      <c r="M171" s="221"/>
      <c r="N171" s="221"/>
      <c r="O171" s="221"/>
      <c r="P171" s="221"/>
    </row>
    <row r="172" spans="1:16" ht="15">
      <c r="A172" s="217"/>
      <c r="B172" s="218"/>
      <c r="C172" s="221"/>
      <c r="D172" s="222"/>
      <c r="E172" s="223"/>
      <c r="F172" s="221"/>
      <c r="G172" s="221"/>
      <c r="H172" s="191"/>
      <c r="I172" s="191"/>
      <c r="J172" s="191"/>
      <c r="K172" s="191"/>
      <c r="L172" s="221"/>
      <c r="M172" s="221"/>
      <c r="N172" s="221"/>
      <c r="O172" s="221"/>
      <c r="P172" s="221"/>
    </row>
    <row r="173" spans="1:16" ht="15">
      <c r="A173" s="217"/>
      <c r="B173" s="218"/>
      <c r="C173" s="221"/>
      <c r="D173" s="222"/>
      <c r="E173" s="223"/>
      <c r="F173" s="221"/>
      <c r="G173" s="221"/>
      <c r="H173" s="191"/>
      <c r="I173" s="191"/>
      <c r="J173" s="191"/>
      <c r="K173" s="191"/>
      <c r="L173" s="221"/>
      <c r="M173" s="221"/>
      <c r="N173" s="221"/>
      <c r="O173" s="221"/>
      <c r="P173" s="221"/>
    </row>
    <row r="174" spans="1:16" ht="15">
      <c r="A174" s="217"/>
      <c r="B174" s="218"/>
      <c r="C174" s="221"/>
      <c r="D174" s="222"/>
      <c r="E174" s="223"/>
      <c r="F174" s="221"/>
      <c r="G174" s="221"/>
      <c r="H174" s="191"/>
      <c r="I174" s="191"/>
      <c r="J174" s="191"/>
      <c r="K174" s="191"/>
      <c r="L174" s="221"/>
      <c r="M174" s="221"/>
      <c r="N174" s="221"/>
      <c r="O174" s="221"/>
      <c r="P174" s="221"/>
    </row>
    <row r="175" spans="1:16" ht="15">
      <c r="A175" s="217"/>
      <c r="B175" s="218"/>
      <c r="C175" s="221"/>
      <c r="D175" s="222"/>
      <c r="E175" s="223"/>
      <c r="F175" s="221"/>
      <c r="G175" s="221"/>
      <c r="H175" s="191"/>
      <c r="I175" s="191"/>
      <c r="J175" s="191"/>
      <c r="K175" s="191"/>
      <c r="L175" s="221"/>
      <c r="M175" s="221"/>
      <c r="N175" s="221"/>
      <c r="O175" s="221"/>
      <c r="P175" s="221"/>
    </row>
    <row r="176" spans="1:16" ht="15">
      <c r="A176" s="217"/>
      <c r="B176" s="218"/>
      <c r="C176" s="221"/>
      <c r="D176" s="222"/>
      <c r="E176" s="223"/>
      <c r="F176" s="221"/>
      <c r="G176" s="221"/>
      <c r="H176" s="191"/>
      <c r="I176" s="191"/>
      <c r="J176" s="191"/>
      <c r="K176" s="191"/>
      <c r="L176" s="221"/>
      <c r="M176" s="221"/>
      <c r="N176" s="221"/>
      <c r="O176" s="221"/>
      <c r="P176" s="221"/>
    </row>
    <row r="177" spans="1:16" ht="15">
      <c r="A177" s="217"/>
      <c r="B177" s="218"/>
      <c r="C177" s="221"/>
      <c r="D177" s="222"/>
      <c r="E177" s="223"/>
      <c r="F177" s="221"/>
      <c r="G177" s="221"/>
      <c r="H177" s="191"/>
      <c r="I177" s="191"/>
      <c r="J177" s="191"/>
      <c r="K177" s="191"/>
      <c r="L177" s="221"/>
      <c r="M177" s="221"/>
      <c r="N177" s="221"/>
      <c r="O177" s="221"/>
      <c r="P177" s="221"/>
    </row>
    <row r="178" spans="1:16" ht="15">
      <c r="A178" s="217"/>
      <c r="B178" s="218"/>
      <c r="C178" s="221"/>
      <c r="D178" s="222"/>
      <c r="E178" s="223"/>
      <c r="F178" s="221"/>
      <c r="G178" s="221"/>
      <c r="H178" s="191"/>
      <c r="I178" s="191"/>
      <c r="J178" s="191"/>
      <c r="K178" s="191"/>
      <c r="L178" s="221"/>
      <c r="M178" s="221"/>
      <c r="N178" s="221"/>
      <c r="O178" s="221"/>
      <c r="P178" s="221"/>
    </row>
    <row r="179" spans="1:16" ht="15">
      <c r="A179" s="217"/>
      <c r="B179" s="218"/>
      <c r="C179" s="221"/>
      <c r="D179" s="222"/>
      <c r="E179" s="223"/>
      <c r="F179" s="221"/>
      <c r="G179" s="221"/>
      <c r="H179" s="191"/>
      <c r="I179" s="191"/>
      <c r="J179" s="191"/>
      <c r="K179" s="191"/>
      <c r="L179" s="221"/>
      <c r="M179" s="221"/>
      <c r="N179" s="221"/>
      <c r="O179" s="221"/>
      <c r="P179" s="221"/>
    </row>
    <row r="180" spans="1:16" ht="15">
      <c r="A180" s="217"/>
      <c r="B180" s="218"/>
      <c r="C180" s="221"/>
      <c r="D180" s="222"/>
      <c r="E180" s="223"/>
      <c r="F180" s="221"/>
      <c r="G180" s="221"/>
      <c r="H180" s="191"/>
      <c r="I180" s="191"/>
      <c r="J180" s="191"/>
      <c r="K180" s="191"/>
      <c r="L180" s="221"/>
      <c r="M180" s="221"/>
      <c r="N180" s="221"/>
      <c r="O180" s="221"/>
      <c r="P180" s="221"/>
    </row>
    <row r="181" spans="1:16" ht="15">
      <c r="A181" s="217"/>
      <c r="B181" s="218"/>
      <c r="C181" s="221"/>
      <c r="D181" s="222"/>
      <c r="E181" s="223"/>
      <c r="F181" s="221"/>
      <c r="G181" s="221"/>
      <c r="H181" s="191"/>
      <c r="I181" s="191"/>
      <c r="J181" s="191"/>
      <c r="K181" s="191"/>
      <c r="L181" s="221"/>
      <c r="M181" s="221"/>
      <c r="N181" s="221"/>
      <c r="O181" s="221"/>
      <c r="P181" s="221"/>
    </row>
    <row r="182" spans="1:16" ht="15">
      <c r="A182" s="217"/>
      <c r="B182" s="218"/>
      <c r="C182" s="221"/>
      <c r="D182" s="222"/>
      <c r="E182" s="223"/>
      <c r="F182" s="221"/>
      <c r="G182" s="221"/>
      <c r="H182" s="191"/>
      <c r="I182" s="191"/>
      <c r="J182" s="191"/>
      <c r="K182" s="191"/>
      <c r="L182" s="221"/>
      <c r="M182" s="221"/>
      <c r="N182" s="221"/>
      <c r="O182" s="221"/>
      <c r="P182" s="221"/>
    </row>
    <row r="183" spans="1:16" ht="15">
      <c r="A183" s="217"/>
      <c r="B183" s="218"/>
      <c r="C183" s="221"/>
      <c r="D183" s="222"/>
      <c r="E183" s="223"/>
      <c r="F183" s="221"/>
      <c r="G183" s="221"/>
      <c r="H183" s="191"/>
      <c r="I183" s="191"/>
      <c r="J183" s="191"/>
      <c r="K183" s="191"/>
      <c r="L183" s="221"/>
      <c r="M183" s="221"/>
      <c r="N183" s="221"/>
      <c r="O183" s="221"/>
      <c r="P183" s="221"/>
    </row>
    <row r="184" spans="1:16" ht="15">
      <c r="A184" s="217"/>
      <c r="B184" s="218"/>
      <c r="C184" s="221"/>
      <c r="D184" s="222"/>
      <c r="E184" s="223"/>
      <c r="F184" s="221"/>
      <c r="G184" s="221"/>
      <c r="H184" s="191"/>
      <c r="I184" s="191"/>
      <c r="J184" s="191"/>
      <c r="K184" s="191"/>
      <c r="L184" s="221"/>
      <c r="M184" s="221"/>
      <c r="N184" s="221"/>
      <c r="O184" s="221"/>
      <c r="P184" s="221"/>
    </row>
    <row r="185" spans="1:16" ht="15">
      <c r="A185" s="217"/>
      <c r="B185" s="218"/>
      <c r="C185" s="221"/>
      <c r="D185" s="222"/>
      <c r="E185" s="223"/>
      <c r="F185" s="221"/>
      <c r="G185" s="221"/>
      <c r="H185" s="191"/>
      <c r="I185" s="191"/>
      <c r="J185" s="191"/>
      <c r="K185" s="191"/>
      <c r="L185" s="221"/>
      <c r="M185" s="221"/>
      <c r="N185" s="221"/>
      <c r="O185" s="221"/>
      <c r="P185" s="221"/>
    </row>
    <row r="186" spans="1:16" ht="15">
      <c r="A186" s="217"/>
      <c r="B186" s="218"/>
      <c r="C186" s="221"/>
      <c r="D186" s="222"/>
      <c r="E186" s="223"/>
      <c r="F186" s="221"/>
      <c r="G186" s="221"/>
      <c r="H186" s="191"/>
      <c r="I186" s="191"/>
      <c r="J186" s="191"/>
      <c r="K186" s="191"/>
      <c r="L186" s="221"/>
      <c r="M186" s="221"/>
      <c r="N186" s="221"/>
      <c r="O186" s="221"/>
      <c r="P186" s="221"/>
    </row>
    <row r="187" spans="1:16" ht="15">
      <c r="A187" s="217"/>
      <c r="B187" s="218"/>
      <c r="C187" s="221"/>
      <c r="D187" s="222"/>
      <c r="E187" s="223"/>
      <c r="F187" s="221"/>
      <c r="G187" s="221"/>
      <c r="H187" s="191"/>
      <c r="I187" s="191"/>
      <c r="J187" s="191"/>
      <c r="K187" s="191"/>
      <c r="L187" s="221"/>
      <c r="M187" s="221"/>
      <c r="N187" s="221"/>
      <c r="O187" s="221"/>
      <c r="P187" s="221"/>
    </row>
    <row r="188" spans="1:16" ht="15">
      <c r="A188" s="217"/>
      <c r="B188" s="218"/>
      <c r="C188" s="221"/>
      <c r="D188" s="222"/>
      <c r="E188" s="223"/>
      <c r="F188" s="221"/>
      <c r="G188" s="221"/>
      <c r="H188" s="191"/>
      <c r="I188" s="191"/>
      <c r="J188" s="191"/>
      <c r="K188" s="191"/>
      <c r="L188" s="221"/>
      <c r="M188" s="221"/>
      <c r="N188" s="221"/>
      <c r="O188" s="221"/>
      <c r="P188" s="221"/>
    </row>
    <row r="189" spans="1:16" ht="15">
      <c r="A189" s="217"/>
      <c r="B189" s="218"/>
      <c r="C189" s="221"/>
      <c r="D189" s="222"/>
      <c r="E189" s="223"/>
      <c r="F189" s="221"/>
      <c r="G189" s="221"/>
      <c r="H189" s="191"/>
      <c r="I189" s="191"/>
      <c r="J189" s="191"/>
      <c r="K189" s="191"/>
      <c r="L189" s="221"/>
      <c r="M189" s="221"/>
      <c r="N189" s="221"/>
      <c r="O189" s="221"/>
      <c r="P189" s="221"/>
    </row>
    <row r="190" spans="1:16" ht="15">
      <c r="A190" s="217"/>
      <c r="B190" s="218"/>
      <c r="C190" s="221"/>
      <c r="D190" s="222"/>
      <c r="E190" s="223"/>
      <c r="F190" s="221"/>
      <c r="G190" s="221"/>
      <c r="H190" s="191"/>
      <c r="I190" s="191"/>
      <c r="J190" s="191"/>
      <c r="K190" s="191"/>
      <c r="L190" s="221"/>
      <c r="M190" s="221"/>
      <c r="N190" s="221"/>
      <c r="O190" s="221"/>
      <c r="P190" s="221"/>
    </row>
    <row r="191" spans="1:16" ht="15">
      <c r="A191" s="217"/>
      <c r="B191" s="218"/>
      <c r="C191" s="221"/>
      <c r="D191" s="222"/>
      <c r="E191" s="223"/>
      <c r="F191" s="221"/>
      <c r="G191" s="221"/>
      <c r="H191" s="191"/>
      <c r="I191" s="191"/>
      <c r="J191" s="191"/>
      <c r="K191" s="191"/>
      <c r="L191" s="221"/>
      <c r="M191" s="221"/>
      <c r="N191" s="221"/>
      <c r="O191" s="221"/>
      <c r="P191" s="221"/>
    </row>
    <row r="192" spans="1:16" ht="15">
      <c r="A192" s="217"/>
      <c r="B192" s="218"/>
      <c r="C192" s="221"/>
      <c r="D192" s="222"/>
      <c r="E192" s="223"/>
      <c r="F192" s="221"/>
      <c r="G192" s="221"/>
      <c r="H192" s="191"/>
      <c r="I192" s="191"/>
      <c r="J192" s="191"/>
      <c r="K192" s="191"/>
      <c r="L192" s="221"/>
      <c r="M192" s="221"/>
      <c r="N192" s="221"/>
      <c r="O192" s="221"/>
      <c r="P192" s="221"/>
    </row>
    <row r="193" spans="1:16" ht="15">
      <c r="A193" s="217"/>
      <c r="B193" s="218"/>
      <c r="C193" s="221"/>
      <c r="D193" s="222"/>
      <c r="E193" s="223"/>
      <c r="F193" s="221"/>
      <c r="G193" s="221"/>
      <c r="H193" s="191"/>
      <c r="I193" s="191"/>
      <c r="J193" s="191"/>
      <c r="K193" s="191"/>
      <c r="L193" s="221"/>
      <c r="M193" s="221"/>
      <c r="N193" s="221"/>
      <c r="O193" s="221"/>
      <c r="P193" s="221"/>
    </row>
    <row r="194" spans="1:16" ht="15">
      <c r="A194" s="217"/>
      <c r="B194" s="218"/>
      <c r="C194" s="221"/>
      <c r="D194" s="222"/>
      <c r="E194" s="223"/>
      <c r="F194" s="221"/>
      <c r="G194" s="221"/>
      <c r="H194" s="191"/>
      <c r="I194" s="191"/>
      <c r="J194" s="191"/>
      <c r="K194" s="191"/>
      <c r="L194" s="221"/>
      <c r="M194" s="221"/>
      <c r="N194" s="221"/>
      <c r="O194" s="221"/>
      <c r="P194" s="221"/>
    </row>
    <row r="195" spans="1:16" ht="15">
      <c r="A195" s="217"/>
      <c r="B195" s="218"/>
      <c r="C195" s="221"/>
      <c r="D195" s="222"/>
      <c r="E195" s="223"/>
      <c r="F195" s="221"/>
      <c r="G195" s="221"/>
      <c r="H195" s="191"/>
      <c r="I195" s="191"/>
      <c r="J195" s="191"/>
      <c r="K195" s="191"/>
      <c r="L195" s="221"/>
      <c r="M195" s="221"/>
      <c r="N195" s="221"/>
      <c r="O195" s="221"/>
      <c r="P195" s="221"/>
    </row>
    <row r="196" spans="1:16" ht="15">
      <c r="A196" s="217"/>
      <c r="B196" s="218"/>
      <c r="C196" s="221"/>
      <c r="D196" s="222"/>
      <c r="E196" s="223"/>
      <c r="F196" s="221"/>
      <c r="G196" s="221"/>
      <c r="H196" s="191"/>
      <c r="I196" s="191"/>
      <c r="J196" s="191"/>
      <c r="K196" s="191"/>
      <c r="L196" s="221"/>
      <c r="M196" s="221"/>
      <c r="N196" s="221"/>
      <c r="O196" s="221"/>
      <c r="P196" s="221"/>
    </row>
    <row r="197" spans="1:16" ht="15">
      <c r="A197" s="217"/>
      <c r="B197" s="218"/>
      <c r="C197" s="221"/>
      <c r="D197" s="222"/>
      <c r="E197" s="223"/>
      <c r="F197" s="221"/>
      <c r="G197" s="221"/>
      <c r="H197" s="191"/>
      <c r="I197" s="191"/>
      <c r="J197" s="191"/>
      <c r="K197" s="191"/>
      <c r="L197" s="221"/>
      <c r="M197" s="221"/>
      <c r="N197" s="221"/>
      <c r="O197" s="221"/>
      <c r="P197" s="221"/>
    </row>
    <row r="198" spans="1:16" ht="15">
      <c r="A198" s="217"/>
      <c r="B198" s="218"/>
      <c r="C198" s="221"/>
      <c r="D198" s="222"/>
      <c r="E198" s="223"/>
      <c r="F198" s="221"/>
      <c r="G198" s="221"/>
      <c r="H198" s="191"/>
      <c r="I198" s="191"/>
      <c r="J198" s="191"/>
      <c r="K198" s="191"/>
      <c r="L198" s="221"/>
      <c r="M198" s="221"/>
      <c r="N198" s="221"/>
      <c r="O198" s="221"/>
      <c r="P198" s="221"/>
    </row>
    <row r="199" spans="1:16" ht="15">
      <c r="A199" s="217"/>
      <c r="B199" s="218"/>
      <c r="C199" s="221"/>
      <c r="D199" s="222"/>
      <c r="E199" s="223"/>
      <c r="F199" s="221"/>
      <c r="G199" s="221"/>
      <c r="H199" s="191"/>
      <c r="I199" s="191"/>
      <c r="J199" s="191"/>
      <c r="K199" s="191"/>
      <c r="L199" s="221"/>
      <c r="M199" s="221"/>
      <c r="N199" s="221"/>
      <c r="O199" s="221"/>
      <c r="P199" s="221"/>
    </row>
    <row r="200" spans="1:16" ht="15">
      <c r="A200" s="217"/>
      <c r="B200" s="218"/>
      <c r="C200" s="221"/>
      <c r="D200" s="222"/>
      <c r="E200" s="223"/>
      <c r="F200" s="221"/>
      <c r="G200" s="221"/>
      <c r="H200" s="191"/>
      <c r="I200" s="191"/>
      <c r="J200" s="191"/>
      <c r="K200" s="191"/>
      <c r="L200" s="221"/>
      <c r="M200" s="221"/>
      <c r="N200" s="221"/>
      <c r="O200" s="221"/>
      <c r="P200" s="221"/>
    </row>
    <row r="201" spans="1:16" ht="15">
      <c r="A201" s="217"/>
      <c r="B201" s="218"/>
      <c r="C201" s="221"/>
      <c r="D201" s="222"/>
      <c r="E201" s="223"/>
      <c r="F201" s="221"/>
      <c r="G201" s="221"/>
      <c r="H201" s="191"/>
      <c r="I201" s="191"/>
      <c r="J201" s="191"/>
      <c r="K201" s="191"/>
      <c r="L201" s="221"/>
      <c r="M201" s="221"/>
      <c r="N201" s="221"/>
      <c r="O201" s="221"/>
      <c r="P201" s="221"/>
    </row>
    <row r="202" spans="1:16" ht="15">
      <c r="A202" s="217"/>
      <c r="B202" s="218"/>
      <c r="C202" s="221"/>
      <c r="D202" s="222"/>
      <c r="E202" s="223"/>
      <c r="F202" s="221"/>
      <c r="G202" s="221"/>
      <c r="H202" s="191"/>
      <c r="I202" s="191"/>
      <c r="J202" s="191"/>
      <c r="K202" s="191"/>
      <c r="L202" s="221"/>
      <c r="M202" s="221"/>
      <c r="N202" s="221"/>
      <c r="O202" s="221"/>
      <c r="P202" s="221"/>
    </row>
    <row r="203" spans="1:16" ht="15">
      <c r="A203" s="217"/>
      <c r="B203" s="218"/>
      <c r="C203" s="221"/>
      <c r="D203" s="222"/>
      <c r="E203" s="223"/>
      <c r="F203" s="221"/>
      <c r="G203" s="221"/>
      <c r="H203" s="191"/>
      <c r="I203" s="191"/>
      <c r="J203" s="191"/>
      <c r="K203" s="191"/>
      <c r="L203" s="221"/>
      <c r="M203" s="221"/>
      <c r="N203" s="221"/>
      <c r="O203" s="221"/>
      <c r="P203" s="221"/>
    </row>
    <row r="204" spans="1:16" ht="15">
      <c r="A204" s="217"/>
      <c r="B204" s="218"/>
      <c r="C204" s="221"/>
      <c r="D204" s="222"/>
      <c r="E204" s="223"/>
      <c r="F204" s="221"/>
      <c r="G204" s="221"/>
      <c r="H204" s="191"/>
      <c r="I204" s="191"/>
      <c r="J204" s="191"/>
      <c r="K204" s="191"/>
      <c r="L204" s="221"/>
      <c r="M204" s="221"/>
      <c r="N204" s="221"/>
      <c r="O204" s="221"/>
      <c r="P204" s="221"/>
    </row>
    <row r="205" spans="1:16" ht="15">
      <c r="A205" s="217"/>
      <c r="B205" s="218"/>
      <c r="C205" s="221"/>
      <c r="D205" s="222"/>
      <c r="E205" s="223"/>
      <c r="F205" s="221"/>
      <c r="G205" s="221"/>
      <c r="H205" s="191"/>
      <c r="I205" s="191"/>
      <c r="J205" s="191"/>
      <c r="K205" s="191"/>
      <c r="L205" s="221"/>
      <c r="M205" s="221"/>
      <c r="N205" s="221"/>
      <c r="O205" s="221"/>
      <c r="P205" s="221"/>
    </row>
    <row r="206" spans="1:16" ht="15">
      <c r="A206" s="217"/>
      <c r="B206" s="218"/>
      <c r="C206" s="221"/>
      <c r="D206" s="222"/>
      <c r="E206" s="223"/>
      <c r="F206" s="221"/>
      <c r="G206" s="221"/>
      <c r="H206" s="191"/>
      <c r="I206" s="191"/>
      <c r="J206" s="191"/>
      <c r="K206" s="191"/>
      <c r="L206" s="221"/>
      <c r="M206" s="221"/>
      <c r="N206" s="221"/>
      <c r="O206" s="221"/>
      <c r="P206" s="221"/>
    </row>
    <row r="207" spans="1:16" ht="15">
      <c r="A207" s="217"/>
      <c r="B207" s="218"/>
      <c r="C207" s="221"/>
      <c r="D207" s="222"/>
      <c r="E207" s="223"/>
      <c r="F207" s="221"/>
      <c r="G207" s="221"/>
      <c r="H207" s="191"/>
      <c r="I207" s="191"/>
      <c r="J207" s="191"/>
      <c r="K207" s="191"/>
      <c r="L207" s="221"/>
      <c r="M207" s="221"/>
      <c r="N207" s="221"/>
      <c r="O207" s="221"/>
      <c r="P207" s="221"/>
    </row>
    <row r="208" spans="1:16" ht="15">
      <c r="A208" s="217"/>
      <c r="B208" s="218"/>
      <c r="C208" s="221"/>
      <c r="D208" s="222"/>
      <c r="E208" s="223"/>
      <c r="F208" s="221"/>
      <c r="G208" s="221"/>
      <c r="H208" s="191"/>
      <c r="I208" s="191"/>
      <c r="J208" s="191"/>
      <c r="K208" s="191"/>
      <c r="L208" s="221"/>
      <c r="M208" s="221"/>
      <c r="N208" s="221"/>
      <c r="O208" s="221"/>
      <c r="P208" s="221"/>
    </row>
    <row r="209" spans="1:16" ht="15">
      <c r="A209" s="217"/>
      <c r="B209" s="218"/>
      <c r="C209" s="221"/>
      <c r="D209" s="222"/>
      <c r="E209" s="223"/>
      <c r="F209" s="221"/>
      <c r="G209" s="221"/>
      <c r="H209" s="191"/>
      <c r="I209" s="191"/>
      <c r="J209" s="191"/>
      <c r="K209" s="191"/>
      <c r="L209" s="221"/>
      <c r="M209" s="221"/>
      <c r="N209" s="221"/>
      <c r="O209" s="221"/>
      <c r="P209" s="221"/>
    </row>
    <row r="210" spans="1:16" ht="15">
      <c r="A210" s="217"/>
      <c r="B210" s="218"/>
      <c r="C210" s="221"/>
      <c r="D210" s="222"/>
      <c r="E210" s="223"/>
      <c r="F210" s="221"/>
      <c r="G210" s="221"/>
      <c r="H210" s="191"/>
      <c r="I210" s="191"/>
      <c r="J210" s="191"/>
      <c r="K210" s="191"/>
      <c r="L210" s="221"/>
      <c r="M210" s="221"/>
      <c r="N210" s="221"/>
      <c r="O210" s="221"/>
      <c r="P210" s="221"/>
    </row>
    <row r="211" spans="1:16" ht="15">
      <c r="A211" s="217"/>
      <c r="B211" s="218"/>
      <c r="C211" s="221"/>
      <c r="D211" s="222"/>
      <c r="E211" s="223"/>
      <c r="F211" s="221"/>
      <c r="G211" s="221"/>
      <c r="H211" s="191"/>
      <c r="I211" s="191"/>
      <c r="J211" s="191"/>
      <c r="K211" s="191"/>
      <c r="L211" s="221"/>
      <c r="M211" s="221"/>
      <c r="N211" s="221"/>
      <c r="O211" s="221"/>
      <c r="P211" s="221"/>
    </row>
    <row r="212" spans="1:16" ht="15">
      <c r="A212" s="217"/>
      <c r="B212" s="218"/>
      <c r="C212" s="221"/>
      <c r="D212" s="222"/>
      <c r="E212" s="223"/>
      <c r="F212" s="221"/>
      <c r="G212" s="221"/>
      <c r="H212" s="191"/>
      <c r="I212" s="191"/>
      <c r="J212" s="191"/>
      <c r="K212" s="191"/>
      <c r="L212" s="221"/>
      <c r="M212" s="221"/>
      <c r="N212" s="221"/>
      <c r="O212" s="221"/>
      <c r="P212" s="221"/>
    </row>
    <row r="213" spans="1:16" ht="15">
      <c r="A213" s="217"/>
      <c r="B213" s="218"/>
      <c r="C213" s="221"/>
      <c r="D213" s="222"/>
      <c r="E213" s="223"/>
      <c r="F213" s="221"/>
      <c r="G213" s="221"/>
      <c r="H213" s="191"/>
      <c r="I213" s="191"/>
      <c r="J213" s="191"/>
      <c r="K213" s="191"/>
      <c r="L213" s="221"/>
      <c r="M213" s="221"/>
      <c r="N213" s="221"/>
      <c r="O213" s="221"/>
      <c r="P213" s="221"/>
    </row>
    <row r="214" spans="1:16" ht="15">
      <c r="A214" s="217"/>
      <c r="B214" s="218"/>
      <c r="C214" s="221"/>
      <c r="D214" s="222"/>
      <c r="E214" s="223"/>
      <c r="F214" s="221"/>
      <c r="G214" s="221"/>
      <c r="H214" s="191"/>
      <c r="I214" s="191"/>
      <c r="J214" s="191"/>
      <c r="K214" s="191"/>
      <c r="L214" s="221"/>
      <c r="M214" s="221"/>
      <c r="N214" s="221"/>
      <c r="O214" s="221"/>
      <c r="P214" s="221"/>
    </row>
    <row r="215" spans="1:16" ht="15">
      <c r="A215" s="217"/>
      <c r="B215" s="218"/>
      <c r="C215" s="221"/>
      <c r="D215" s="222"/>
      <c r="E215" s="223"/>
      <c r="F215" s="221"/>
      <c r="G215" s="221"/>
      <c r="H215" s="191"/>
      <c r="I215" s="191"/>
      <c r="J215" s="191"/>
      <c r="K215" s="191"/>
      <c r="L215" s="221"/>
      <c r="M215" s="221"/>
      <c r="N215" s="221"/>
      <c r="O215" s="221"/>
      <c r="P215" s="221"/>
    </row>
    <row r="216" spans="1:16" ht="15">
      <c r="A216" s="217"/>
      <c r="B216" s="218"/>
      <c r="C216" s="221"/>
      <c r="D216" s="222"/>
      <c r="E216" s="223"/>
      <c r="F216" s="221"/>
      <c r="G216" s="221"/>
      <c r="H216" s="191"/>
      <c r="I216" s="191"/>
      <c r="J216" s="191"/>
      <c r="K216" s="191"/>
      <c r="L216" s="221"/>
      <c r="M216" s="221"/>
      <c r="N216" s="221"/>
      <c r="O216" s="221"/>
      <c r="P216" s="221"/>
    </row>
    <row r="217" spans="1:16" ht="15">
      <c r="A217" s="217"/>
      <c r="B217" s="218"/>
      <c r="C217" s="221"/>
      <c r="D217" s="222"/>
      <c r="E217" s="223"/>
      <c r="F217" s="221"/>
      <c r="G217" s="221"/>
      <c r="H217" s="191"/>
      <c r="I217" s="191"/>
      <c r="J217" s="191"/>
      <c r="K217" s="191"/>
      <c r="L217" s="221"/>
      <c r="M217" s="221"/>
      <c r="N217" s="221"/>
      <c r="O217" s="221"/>
      <c r="P217" s="221"/>
    </row>
    <row r="218" spans="1:16" ht="15">
      <c r="A218" s="217"/>
      <c r="B218" s="218"/>
      <c r="C218" s="221"/>
      <c r="D218" s="222"/>
      <c r="E218" s="223"/>
      <c r="F218" s="221"/>
      <c r="G218" s="221"/>
      <c r="H218" s="191"/>
      <c r="I218" s="191"/>
      <c r="J218" s="191"/>
      <c r="K218" s="191"/>
      <c r="L218" s="221"/>
      <c r="M218" s="221"/>
      <c r="N218" s="221"/>
      <c r="O218" s="221"/>
      <c r="P218" s="221"/>
    </row>
    <row r="219" spans="1:16" ht="15">
      <c r="A219" s="217"/>
      <c r="B219" s="218"/>
      <c r="C219" s="221"/>
      <c r="D219" s="222"/>
      <c r="E219" s="223"/>
      <c r="F219" s="221"/>
      <c r="G219" s="221"/>
      <c r="H219" s="191"/>
      <c r="I219" s="191"/>
      <c r="J219" s="191"/>
      <c r="K219" s="191"/>
      <c r="L219" s="221"/>
      <c r="M219" s="221"/>
      <c r="N219" s="221"/>
      <c r="O219" s="221"/>
      <c r="P219" s="221"/>
    </row>
    <row r="220" spans="1:16" ht="15">
      <c r="A220" s="217"/>
      <c r="B220" s="218"/>
      <c r="C220" s="221"/>
      <c r="D220" s="222"/>
      <c r="E220" s="223"/>
      <c r="F220" s="221"/>
      <c r="G220" s="221"/>
      <c r="H220" s="191"/>
      <c r="I220" s="191"/>
      <c r="J220" s="191"/>
      <c r="K220" s="191"/>
      <c r="L220" s="221"/>
      <c r="M220" s="221"/>
      <c r="N220" s="221"/>
      <c r="O220" s="221"/>
      <c r="P220" s="221"/>
    </row>
    <row r="221" spans="1:16" ht="15">
      <c r="A221" s="217"/>
      <c r="B221" s="218"/>
      <c r="C221" s="221"/>
      <c r="D221" s="222"/>
      <c r="E221" s="223"/>
      <c r="F221" s="221"/>
      <c r="G221" s="221"/>
      <c r="H221" s="191"/>
      <c r="I221" s="191"/>
      <c r="J221" s="191"/>
      <c r="K221" s="191"/>
      <c r="L221" s="221"/>
      <c r="M221" s="221"/>
      <c r="N221" s="221"/>
      <c r="O221" s="221"/>
      <c r="P221" s="221"/>
    </row>
    <row r="222" spans="1:16" ht="15">
      <c r="A222" s="217"/>
      <c r="B222" s="218"/>
      <c r="C222" s="221"/>
      <c r="D222" s="222"/>
      <c r="E222" s="223"/>
      <c r="F222" s="221"/>
      <c r="G222" s="221"/>
      <c r="H222" s="191"/>
      <c r="I222" s="191"/>
      <c r="J222" s="191"/>
      <c r="K222" s="191"/>
      <c r="L222" s="221"/>
      <c r="M222" s="221"/>
      <c r="N222" s="221"/>
      <c r="O222" s="221"/>
      <c r="P222" s="221"/>
    </row>
    <row r="223" spans="1:16" ht="15">
      <c r="A223" s="217"/>
      <c r="B223" s="218"/>
      <c r="C223" s="221"/>
      <c r="D223" s="222"/>
      <c r="E223" s="223"/>
      <c r="F223" s="221"/>
      <c r="G223" s="221"/>
      <c r="H223" s="191"/>
      <c r="I223" s="191"/>
      <c r="J223" s="191"/>
      <c r="K223" s="191"/>
      <c r="L223" s="221"/>
      <c r="M223" s="221"/>
      <c r="N223" s="221"/>
      <c r="O223" s="221"/>
      <c r="P223" s="221"/>
    </row>
    <row r="224" spans="1:16" ht="15">
      <c r="A224" s="217"/>
      <c r="B224" s="218"/>
      <c r="C224" s="221"/>
      <c r="D224" s="222"/>
      <c r="E224" s="223"/>
      <c r="F224" s="221"/>
      <c r="G224" s="221"/>
      <c r="H224" s="191"/>
      <c r="I224" s="191"/>
      <c r="J224" s="191"/>
      <c r="K224" s="191"/>
      <c r="L224" s="221"/>
      <c r="M224" s="221"/>
      <c r="N224" s="221"/>
      <c r="O224" s="221"/>
      <c r="P224" s="221"/>
    </row>
    <row r="225" spans="1:16" ht="15">
      <c r="A225" s="217"/>
      <c r="B225" s="218"/>
      <c r="C225" s="221"/>
      <c r="D225" s="222"/>
      <c r="E225" s="223"/>
      <c r="F225" s="221"/>
      <c r="G225" s="221"/>
      <c r="H225" s="191"/>
      <c r="I225" s="191"/>
      <c r="J225" s="191"/>
      <c r="K225" s="191"/>
      <c r="L225" s="221"/>
      <c r="M225" s="221"/>
      <c r="N225" s="221"/>
      <c r="O225" s="221"/>
      <c r="P225" s="221"/>
    </row>
    <row r="226" spans="1:16" ht="15">
      <c r="A226" s="217"/>
      <c r="B226" s="218"/>
      <c r="C226" s="221"/>
      <c r="D226" s="222"/>
      <c r="E226" s="223"/>
      <c r="F226" s="221"/>
      <c r="G226" s="221"/>
      <c r="H226" s="191"/>
      <c r="I226" s="191"/>
      <c r="J226" s="191"/>
      <c r="K226" s="191"/>
      <c r="L226" s="221"/>
      <c r="M226" s="221"/>
      <c r="N226" s="221"/>
      <c r="O226" s="221"/>
      <c r="P226" s="221"/>
    </row>
    <row r="227" spans="1:16" ht="15">
      <c r="A227" s="217"/>
      <c r="B227" s="218"/>
      <c r="C227" s="221"/>
      <c r="D227" s="222"/>
      <c r="E227" s="223"/>
      <c r="F227" s="221"/>
      <c r="G227" s="221"/>
      <c r="H227" s="191"/>
      <c r="I227" s="191"/>
      <c r="J227" s="191"/>
      <c r="K227" s="191"/>
      <c r="L227" s="221"/>
      <c r="M227" s="221"/>
      <c r="N227" s="221"/>
      <c r="O227" s="221"/>
      <c r="P227" s="221"/>
    </row>
    <row r="228" spans="1:16" ht="15">
      <c r="A228" s="217"/>
      <c r="B228" s="218"/>
      <c r="C228" s="221"/>
      <c r="D228" s="222"/>
      <c r="E228" s="223"/>
      <c r="F228" s="221"/>
      <c r="G228" s="221"/>
      <c r="H228" s="191"/>
      <c r="I228" s="191"/>
      <c r="J228" s="191"/>
      <c r="K228" s="191"/>
      <c r="L228" s="221"/>
      <c r="M228" s="221"/>
      <c r="N228" s="221"/>
      <c r="O228" s="221"/>
      <c r="P228" s="221"/>
    </row>
    <row r="229" spans="1:16" ht="15">
      <c r="A229" s="217"/>
      <c r="B229" s="218"/>
      <c r="C229" s="221"/>
      <c r="D229" s="222"/>
      <c r="E229" s="223"/>
      <c r="F229" s="221"/>
      <c r="G229" s="221"/>
      <c r="H229" s="191"/>
      <c r="I229" s="191"/>
      <c r="J229" s="191"/>
      <c r="K229" s="191"/>
      <c r="L229" s="221"/>
      <c r="M229" s="221"/>
      <c r="N229" s="221"/>
      <c r="O229" s="221"/>
      <c r="P229" s="221"/>
    </row>
    <row r="230" spans="1:16" ht="15">
      <c r="A230" s="217"/>
      <c r="B230" s="218"/>
      <c r="C230" s="221"/>
      <c r="D230" s="222"/>
      <c r="E230" s="223"/>
      <c r="F230" s="221"/>
      <c r="G230" s="221"/>
      <c r="H230" s="191"/>
      <c r="I230" s="191"/>
      <c r="J230" s="191"/>
      <c r="K230" s="191"/>
      <c r="L230" s="221"/>
      <c r="M230" s="221"/>
      <c r="N230" s="221"/>
      <c r="O230" s="221"/>
      <c r="P230" s="221"/>
    </row>
    <row r="231" spans="1:16" ht="15">
      <c r="A231" s="217"/>
      <c r="B231" s="218"/>
      <c r="C231" s="221"/>
      <c r="D231" s="222"/>
      <c r="E231" s="223"/>
      <c r="F231" s="221"/>
      <c r="G231" s="221"/>
      <c r="H231" s="191"/>
      <c r="I231" s="191"/>
      <c r="J231" s="191"/>
      <c r="K231" s="191"/>
      <c r="L231" s="221"/>
      <c r="M231" s="221"/>
      <c r="N231" s="221"/>
      <c r="O231" s="221"/>
      <c r="P231" s="221"/>
    </row>
    <row r="232" spans="1:16" ht="15">
      <c r="A232" s="217"/>
      <c r="B232" s="218"/>
      <c r="C232" s="221"/>
      <c r="D232" s="222"/>
      <c r="E232" s="223"/>
      <c r="F232" s="221"/>
      <c r="G232" s="221"/>
      <c r="H232" s="191"/>
      <c r="I232" s="191"/>
      <c r="J232" s="191"/>
      <c r="K232" s="191"/>
      <c r="L232" s="221"/>
      <c r="M232" s="221"/>
      <c r="N232" s="221"/>
      <c r="O232" s="221"/>
      <c r="P232" s="221"/>
    </row>
    <row r="233" spans="1:16" ht="15">
      <c r="A233" s="217"/>
      <c r="B233" s="218"/>
      <c r="C233" s="221"/>
      <c r="D233" s="222"/>
      <c r="E233" s="223"/>
      <c r="F233" s="221"/>
      <c r="G233" s="221"/>
      <c r="H233" s="191"/>
      <c r="I233" s="191"/>
      <c r="J233" s="191"/>
      <c r="K233" s="191"/>
      <c r="L233" s="221"/>
      <c r="M233" s="221"/>
      <c r="N233" s="221"/>
      <c r="O233" s="221"/>
      <c r="P233" s="221"/>
    </row>
    <row r="234" spans="1:16" ht="15">
      <c r="A234" s="217"/>
      <c r="B234" s="218"/>
      <c r="C234" s="221"/>
      <c r="D234" s="222"/>
      <c r="E234" s="223"/>
      <c r="F234" s="221"/>
      <c r="G234" s="221"/>
      <c r="H234" s="191"/>
      <c r="I234" s="191"/>
      <c r="J234" s="191"/>
      <c r="K234" s="191"/>
      <c r="L234" s="221"/>
      <c r="M234" s="221"/>
      <c r="N234" s="221"/>
      <c r="O234" s="221"/>
      <c r="P234" s="221"/>
    </row>
    <row r="235" spans="1:16" ht="15">
      <c r="A235" s="217"/>
      <c r="B235" s="218"/>
      <c r="C235" s="221"/>
      <c r="D235" s="222"/>
      <c r="E235" s="223"/>
      <c r="F235" s="221"/>
      <c r="G235" s="221"/>
      <c r="H235" s="191"/>
      <c r="I235" s="191"/>
      <c r="J235" s="191"/>
      <c r="K235" s="191"/>
      <c r="L235" s="221"/>
      <c r="M235" s="221"/>
      <c r="N235" s="221"/>
      <c r="O235" s="221"/>
      <c r="P235" s="221"/>
    </row>
    <row r="236" spans="1:16" ht="15">
      <c r="A236" s="217"/>
      <c r="B236" s="218"/>
      <c r="C236" s="221"/>
      <c r="D236" s="222"/>
      <c r="E236" s="223"/>
      <c r="F236" s="221"/>
      <c r="G236" s="221"/>
      <c r="H236" s="191"/>
      <c r="I236" s="191"/>
      <c r="J236" s="191"/>
      <c r="K236" s="191"/>
      <c r="L236" s="221"/>
      <c r="M236" s="221"/>
      <c r="N236" s="221"/>
      <c r="O236" s="221"/>
      <c r="P236" s="221"/>
    </row>
    <row r="237" spans="1:16" ht="15">
      <c r="A237" s="217"/>
      <c r="B237" s="218"/>
      <c r="C237" s="221"/>
      <c r="D237" s="222"/>
      <c r="E237" s="223"/>
      <c r="F237" s="221"/>
      <c r="G237" s="221"/>
      <c r="H237" s="191"/>
      <c r="I237" s="191"/>
      <c r="J237" s="191"/>
      <c r="K237" s="191"/>
      <c r="L237" s="221"/>
      <c r="M237" s="221"/>
      <c r="N237" s="221"/>
      <c r="O237" s="221"/>
      <c r="P237" s="221"/>
    </row>
    <row r="238" spans="1:16" ht="15">
      <c r="A238" s="217"/>
      <c r="B238" s="218"/>
      <c r="C238" s="221"/>
      <c r="D238" s="222"/>
      <c r="E238" s="223"/>
      <c r="F238" s="221"/>
      <c r="G238" s="221"/>
      <c r="H238" s="191"/>
      <c r="I238" s="191"/>
      <c r="J238" s="191"/>
      <c r="K238" s="191"/>
      <c r="L238" s="221"/>
      <c r="M238" s="221"/>
      <c r="N238" s="221"/>
      <c r="O238" s="221"/>
      <c r="P238" s="221"/>
    </row>
    <row r="239" spans="1:16" ht="15">
      <c r="A239" s="217"/>
      <c r="B239" s="218"/>
      <c r="C239" s="221"/>
      <c r="D239" s="222"/>
      <c r="E239" s="223"/>
      <c r="F239" s="221"/>
      <c r="G239" s="221"/>
      <c r="H239" s="191"/>
      <c r="I239" s="191"/>
      <c r="J239" s="191"/>
      <c r="K239" s="191"/>
      <c r="L239" s="221"/>
      <c r="M239" s="221"/>
      <c r="N239" s="221"/>
      <c r="O239" s="221"/>
      <c r="P239" s="221"/>
    </row>
    <row r="240" spans="1:16" ht="15">
      <c r="A240" s="217"/>
      <c r="B240" s="218"/>
      <c r="C240" s="221"/>
      <c r="D240" s="222"/>
      <c r="E240" s="223"/>
      <c r="F240" s="221"/>
      <c r="G240" s="221"/>
      <c r="H240" s="191"/>
      <c r="I240" s="191"/>
      <c r="J240" s="191"/>
      <c r="K240" s="191"/>
      <c r="L240" s="221"/>
      <c r="M240" s="221"/>
      <c r="N240" s="221"/>
      <c r="O240" s="221"/>
      <c r="P240" s="221"/>
    </row>
    <row r="241" spans="1:16" ht="15">
      <c r="A241" s="217"/>
      <c r="B241" s="218"/>
      <c r="C241" s="221"/>
      <c r="D241" s="222"/>
      <c r="E241" s="223"/>
      <c r="F241" s="221"/>
      <c r="G241" s="221"/>
      <c r="H241" s="191"/>
      <c r="I241" s="191"/>
      <c r="J241" s="191"/>
      <c r="K241" s="191"/>
      <c r="L241" s="221"/>
      <c r="M241" s="221"/>
      <c r="N241" s="221"/>
      <c r="O241" s="221"/>
      <c r="P241" s="221"/>
    </row>
    <row r="242" spans="1:16" ht="15">
      <c r="A242" s="217"/>
      <c r="B242" s="218"/>
      <c r="C242" s="221"/>
      <c r="D242" s="222"/>
      <c r="E242" s="223"/>
      <c r="F242" s="221"/>
      <c r="G242" s="221"/>
      <c r="H242" s="191"/>
      <c r="I242" s="191"/>
      <c r="J242" s="191"/>
      <c r="K242" s="191"/>
      <c r="L242" s="221"/>
      <c r="M242" s="221"/>
      <c r="N242" s="221"/>
      <c r="O242" s="221"/>
      <c r="P242" s="221"/>
    </row>
    <row r="243" spans="1:16" ht="15">
      <c r="A243" s="217"/>
      <c r="B243" s="218"/>
      <c r="C243" s="221"/>
      <c r="D243" s="222"/>
      <c r="E243" s="223"/>
      <c r="F243" s="221"/>
      <c r="G243" s="221"/>
      <c r="H243" s="191"/>
      <c r="I243" s="191"/>
      <c r="J243" s="191"/>
      <c r="K243" s="191"/>
      <c r="L243" s="221"/>
      <c r="M243" s="221"/>
      <c r="N243" s="221"/>
      <c r="O243" s="221"/>
      <c r="P243" s="221"/>
    </row>
    <row r="244" spans="1:16" ht="15">
      <c r="A244" s="217"/>
      <c r="B244" s="218"/>
      <c r="C244" s="221"/>
      <c r="D244" s="222"/>
      <c r="E244" s="223"/>
      <c r="F244" s="221"/>
      <c r="G244" s="221"/>
      <c r="H244" s="191"/>
      <c r="I244" s="191"/>
      <c r="J244" s="191"/>
      <c r="K244" s="191"/>
      <c r="L244" s="221"/>
      <c r="M244" s="221"/>
      <c r="N244" s="221"/>
      <c r="O244" s="221"/>
      <c r="P244" s="221"/>
    </row>
    <row r="245" spans="1:16" ht="15">
      <c r="A245" s="217"/>
      <c r="B245" s="218"/>
      <c r="C245" s="221"/>
      <c r="D245" s="222"/>
      <c r="E245" s="223"/>
      <c r="F245" s="221"/>
      <c r="G245" s="221"/>
      <c r="H245" s="191"/>
      <c r="I245" s="191"/>
      <c r="J245" s="191"/>
      <c r="K245" s="191"/>
      <c r="L245" s="221"/>
      <c r="M245" s="221"/>
      <c r="N245" s="221"/>
      <c r="O245" s="221"/>
      <c r="P245" s="221"/>
    </row>
    <row r="246" spans="1:16" ht="15">
      <c r="A246" s="217"/>
      <c r="B246" s="218"/>
      <c r="C246" s="221"/>
      <c r="D246" s="222"/>
      <c r="E246" s="223"/>
      <c r="F246" s="221"/>
      <c r="G246" s="221"/>
      <c r="H246" s="191"/>
      <c r="I246" s="191"/>
      <c r="J246" s="191"/>
      <c r="K246" s="191"/>
      <c r="L246" s="221"/>
      <c r="M246" s="221"/>
      <c r="N246" s="221"/>
      <c r="O246" s="221"/>
      <c r="P246" s="221"/>
    </row>
    <row r="247" spans="1:16" ht="15">
      <c r="A247" s="217"/>
      <c r="B247" s="218"/>
      <c r="C247" s="221"/>
      <c r="D247" s="222"/>
      <c r="E247" s="223"/>
      <c r="F247" s="221"/>
      <c r="G247" s="221"/>
      <c r="H247" s="191"/>
      <c r="I247" s="191"/>
      <c r="J247" s="191"/>
      <c r="K247" s="191"/>
      <c r="L247" s="221"/>
      <c r="M247" s="221"/>
      <c r="N247" s="221"/>
      <c r="O247" s="221"/>
      <c r="P247" s="221"/>
    </row>
    <row r="248" spans="1:16" ht="15">
      <c r="A248" s="217"/>
      <c r="B248" s="218"/>
      <c r="C248" s="221"/>
      <c r="D248" s="222"/>
      <c r="E248" s="223"/>
      <c r="F248" s="221"/>
      <c r="G248" s="221"/>
      <c r="H248" s="191"/>
      <c r="I248" s="191"/>
      <c r="J248" s="191"/>
      <c r="K248" s="191"/>
      <c r="L248" s="221"/>
      <c r="M248" s="221"/>
      <c r="N248" s="221"/>
      <c r="O248" s="221"/>
      <c r="P248" s="221"/>
    </row>
    <row r="249" spans="1:16" ht="15">
      <c r="A249" s="217"/>
      <c r="B249" s="218"/>
      <c r="C249" s="221"/>
      <c r="D249" s="222"/>
      <c r="E249" s="223"/>
      <c r="F249" s="221"/>
      <c r="G249" s="221"/>
      <c r="H249" s="191"/>
      <c r="I249" s="191"/>
      <c r="J249" s="191"/>
      <c r="K249" s="191"/>
      <c r="L249" s="221"/>
      <c r="M249" s="221"/>
      <c r="N249" s="221"/>
      <c r="O249" s="221"/>
      <c r="P249" s="221"/>
    </row>
    <row r="250" spans="1:16" ht="15">
      <c r="A250" s="217"/>
      <c r="B250" s="218"/>
      <c r="C250" s="221"/>
      <c r="D250" s="222"/>
      <c r="E250" s="223"/>
      <c r="F250" s="221"/>
      <c r="G250" s="221"/>
      <c r="H250" s="191"/>
      <c r="I250" s="191"/>
      <c r="J250" s="191"/>
      <c r="K250" s="191"/>
      <c r="L250" s="221"/>
      <c r="M250" s="221"/>
      <c r="N250" s="221"/>
      <c r="O250" s="221"/>
      <c r="P250" s="221"/>
    </row>
    <row r="251" spans="1:16" ht="15">
      <c r="A251" s="217"/>
      <c r="B251" s="218"/>
      <c r="C251" s="221"/>
      <c r="D251" s="222"/>
      <c r="E251" s="223"/>
      <c r="F251" s="221"/>
      <c r="G251" s="221"/>
      <c r="H251" s="191"/>
      <c r="I251" s="191"/>
      <c r="J251" s="191"/>
      <c r="K251" s="191"/>
      <c r="L251" s="221"/>
      <c r="M251" s="221"/>
      <c r="N251" s="221"/>
      <c r="O251" s="221"/>
      <c r="P251" s="221"/>
    </row>
    <row r="252" spans="1:16" ht="15">
      <c r="A252" s="217"/>
      <c r="B252" s="218"/>
      <c r="C252" s="221"/>
      <c r="D252" s="222"/>
      <c r="E252" s="223"/>
      <c r="F252" s="221"/>
      <c r="G252" s="221"/>
      <c r="H252" s="191"/>
      <c r="I252" s="191"/>
      <c r="J252" s="191"/>
      <c r="K252" s="191"/>
      <c r="L252" s="221"/>
      <c r="M252" s="221"/>
      <c r="N252" s="221"/>
      <c r="O252" s="221"/>
      <c r="P252" s="221"/>
    </row>
    <row r="253" spans="1:16" ht="15">
      <c r="A253" s="217"/>
      <c r="B253" s="218"/>
      <c r="C253" s="221"/>
      <c r="D253" s="222"/>
      <c r="E253" s="223"/>
      <c r="F253" s="221"/>
      <c r="G253" s="221"/>
      <c r="H253" s="191"/>
      <c r="I253" s="191"/>
      <c r="J253" s="191"/>
      <c r="K253" s="191"/>
      <c r="L253" s="221"/>
      <c r="M253" s="221"/>
      <c r="N253" s="221"/>
      <c r="O253" s="221"/>
      <c r="P253" s="221"/>
    </row>
    <row r="254" spans="1:16" ht="15">
      <c r="A254" s="217"/>
      <c r="B254" s="218"/>
      <c r="C254" s="221"/>
      <c r="D254" s="222"/>
      <c r="E254" s="223"/>
      <c r="F254" s="221"/>
      <c r="G254" s="221"/>
      <c r="H254" s="191"/>
      <c r="I254" s="191"/>
      <c r="J254" s="191"/>
      <c r="K254" s="191"/>
      <c r="L254" s="221"/>
      <c r="M254" s="221"/>
      <c r="N254" s="221"/>
      <c r="O254" s="221"/>
      <c r="P254" s="221"/>
    </row>
    <row r="255" spans="1:16" ht="15">
      <c r="A255" s="217"/>
      <c r="B255" s="218"/>
      <c r="C255" s="221"/>
      <c r="D255" s="222"/>
      <c r="E255" s="223"/>
      <c r="F255" s="221"/>
      <c r="G255" s="221"/>
      <c r="H255" s="191"/>
      <c r="I255" s="191"/>
      <c r="J255" s="191"/>
      <c r="K255" s="191"/>
      <c r="L255" s="221"/>
      <c r="M255" s="221"/>
      <c r="N255" s="221"/>
      <c r="O255" s="221"/>
      <c r="P255" s="221"/>
    </row>
    <row r="256" spans="1:16" ht="15">
      <c r="A256" s="217"/>
      <c r="B256" s="218"/>
      <c r="C256" s="221"/>
      <c r="D256" s="222"/>
      <c r="E256" s="223"/>
      <c r="F256" s="221"/>
      <c r="G256" s="221"/>
      <c r="H256" s="191"/>
      <c r="I256" s="191"/>
      <c r="J256" s="191"/>
      <c r="K256" s="191"/>
      <c r="L256" s="221"/>
      <c r="M256" s="221"/>
      <c r="N256" s="221"/>
      <c r="O256" s="221"/>
      <c r="P256" s="221"/>
    </row>
    <row r="257" spans="1:16" ht="15">
      <c r="A257" s="217"/>
      <c r="B257" s="218"/>
      <c r="C257" s="221"/>
      <c r="D257" s="222"/>
      <c r="E257" s="223"/>
      <c r="F257" s="221"/>
      <c r="G257" s="221"/>
      <c r="H257" s="191"/>
      <c r="I257" s="191"/>
      <c r="J257" s="191"/>
      <c r="K257" s="191"/>
      <c r="L257" s="221"/>
      <c r="M257" s="221"/>
      <c r="N257" s="221"/>
      <c r="O257" s="221"/>
      <c r="P257" s="221"/>
    </row>
    <row r="258" spans="1:16" ht="15">
      <c r="A258" s="217"/>
      <c r="B258" s="218"/>
      <c r="C258" s="221"/>
      <c r="D258" s="222"/>
      <c r="E258" s="223"/>
      <c r="F258" s="221"/>
      <c r="G258" s="221"/>
      <c r="H258" s="191"/>
      <c r="I258" s="191"/>
      <c r="J258" s="191"/>
      <c r="K258" s="191"/>
      <c r="L258" s="221"/>
      <c r="M258" s="221"/>
      <c r="N258" s="221"/>
      <c r="O258" s="221"/>
      <c r="P258" s="221"/>
    </row>
    <row r="259" spans="1:16" ht="15">
      <c r="A259" s="217"/>
      <c r="B259" s="218"/>
      <c r="C259" s="221"/>
      <c r="D259" s="222"/>
      <c r="E259" s="223"/>
      <c r="F259" s="221"/>
      <c r="G259" s="221"/>
      <c r="H259" s="191"/>
      <c r="I259" s="191"/>
      <c r="J259" s="191"/>
      <c r="K259" s="191"/>
      <c r="L259" s="221"/>
      <c r="M259" s="221"/>
      <c r="N259" s="221"/>
      <c r="O259" s="221"/>
      <c r="P259" s="221"/>
    </row>
    <row r="260" spans="1:16" ht="15">
      <c r="A260" s="217"/>
      <c r="B260" s="218"/>
      <c r="C260" s="221"/>
      <c r="D260" s="222"/>
      <c r="E260" s="223"/>
      <c r="F260" s="221"/>
      <c r="G260" s="221"/>
      <c r="H260" s="191"/>
      <c r="I260" s="191"/>
      <c r="J260" s="191"/>
      <c r="K260" s="191"/>
      <c r="L260" s="221"/>
      <c r="M260" s="221"/>
      <c r="N260" s="221"/>
      <c r="O260" s="221"/>
      <c r="P260" s="221"/>
    </row>
    <row r="261" spans="1:16" ht="15">
      <c r="A261" s="217"/>
      <c r="B261" s="218"/>
      <c r="C261" s="221"/>
      <c r="D261" s="222"/>
      <c r="E261" s="223"/>
      <c r="F261" s="221"/>
      <c r="G261" s="221"/>
      <c r="H261" s="191"/>
      <c r="I261" s="191"/>
      <c r="J261" s="191"/>
      <c r="K261" s="191"/>
      <c r="L261" s="221"/>
      <c r="M261" s="221"/>
      <c r="N261" s="221"/>
      <c r="O261" s="221"/>
      <c r="P261" s="221"/>
    </row>
    <row r="262" spans="1:16" ht="15">
      <c r="A262" s="217"/>
      <c r="B262" s="218"/>
      <c r="C262" s="221"/>
      <c r="D262" s="222"/>
      <c r="E262" s="223"/>
      <c r="F262" s="221"/>
      <c r="G262" s="221"/>
      <c r="H262" s="191"/>
      <c r="I262" s="191"/>
      <c r="J262" s="191"/>
      <c r="K262" s="191"/>
      <c r="L262" s="221"/>
      <c r="M262" s="221"/>
      <c r="N262" s="221"/>
      <c r="O262" s="221"/>
      <c r="P262" s="221"/>
    </row>
    <row r="263" spans="1:16" ht="15">
      <c r="A263" s="217"/>
      <c r="B263" s="218"/>
      <c r="C263" s="221"/>
      <c r="D263" s="222"/>
      <c r="E263" s="223"/>
      <c r="F263" s="221"/>
      <c r="G263" s="221"/>
      <c r="H263" s="191"/>
      <c r="I263" s="191"/>
      <c r="J263" s="191"/>
      <c r="K263" s="191"/>
      <c r="L263" s="221"/>
      <c r="M263" s="221"/>
      <c r="N263" s="221"/>
      <c r="O263" s="221"/>
      <c r="P263" s="221"/>
    </row>
    <row r="264" spans="1:16" ht="15">
      <c r="A264" s="217"/>
      <c r="B264" s="218"/>
      <c r="C264" s="221"/>
      <c r="D264" s="222"/>
      <c r="E264" s="223"/>
      <c r="F264" s="221"/>
      <c r="G264" s="221"/>
      <c r="H264" s="191"/>
      <c r="I264" s="191"/>
      <c r="J264" s="191"/>
      <c r="K264" s="191"/>
      <c r="L264" s="221"/>
      <c r="M264" s="221"/>
      <c r="N264" s="221"/>
      <c r="O264" s="221"/>
      <c r="P264" s="221"/>
    </row>
    <row r="265" spans="1:16" ht="15">
      <c r="A265" s="217"/>
      <c r="B265" s="218"/>
      <c r="C265" s="221"/>
      <c r="D265" s="222"/>
      <c r="E265" s="223"/>
      <c r="F265" s="221"/>
      <c r="G265" s="221"/>
      <c r="H265" s="191"/>
      <c r="I265" s="191"/>
      <c r="J265" s="191"/>
      <c r="K265" s="191"/>
      <c r="L265" s="221"/>
      <c r="M265" s="221"/>
      <c r="N265" s="221"/>
      <c r="O265" s="221"/>
      <c r="P265" s="221"/>
    </row>
    <row r="266" spans="1:16" ht="15">
      <c r="A266" s="217"/>
      <c r="B266" s="218"/>
      <c r="C266" s="221"/>
      <c r="D266" s="222"/>
      <c r="E266" s="223"/>
      <c r="F266" s="221"/>
      <c r="G266" s="221"/>
      <c r="H266" s="191"/>
      <c r="I266" s="191"/>
      <c r="J266" s="191"/>
      <c r="K266" s="191"/>
      <c r="L266" s="221"/>
      <c r="M266" s="221"/>
      <c r="N266" s="221"/>
      <c r="O266" s="221"/>
      <c r="P266" s="221"/>
    </row>
    <row r="267" spans="1:16" ht="15">
      <c r="A267" s="217"/>
      <c r="B267" s="218"/>
      <c r="C267" s="221"/>
      <c r="D267" s="222"/>
      <c r="E267" s="223"/>
      <c r="F267" s="221"/>
      <c r="G267" s="221"/>
      <c r="H267" s="191"/>
      <c r="I267" s="191"/>
      <c r="J267" s="191"/>
      <c r="K267" s="191"/>
      <c r="L267" s="221"/>
      <c r="M267" s="221"/>
      <c r="N267" s="221"/>
      <c r="O267" s="221"/>
      <c r="P267" s="221"/>
    </row>
    <row r="268" spans="1:16" ht="15">
      <c r="A268" s="217"/>
      <c r="B268" s="218"/>
      <c r="C268" s="221"/>
      <c r="D268" s="222"/>
      <c r="E268" s="223"/>
      <c r="F268" s="221"/>
      <c r="G268" s="221"/>
      <c r="H268" s="191"/>
      <c r="I268" s="191"/>
      <c r="J268" s="191"/>
      <c r="K268" s="191"/>
      <c r="L268" s="221"/>
      <c r="M268" s="221"/>
      <c r="N268" s="221"/>
      <c r="O268" s="221"/>
      <c r="P268" s="221"/>
    </row>
    <row r="269" spans="1:16" ht="15">
      <c r="A269" s="217"/>
      <c r="B269" s="218"/>
      <c r="C269" s="221"/>
      <c r="D269" s="222"/>
      <c r="E269" s="223"/>
      <c r="F269" s="221"/>
      <c r="G269" s="221"/>
      <c r="H269" s="191"/>
      <c r="I269" s="191"/>
      <c r="J269" s="191"/>
      <c r="K269" s="191"/>
      <c r="L269" s="221"/>
      <c r="M269" s="221"/>
      <c r="N269" s="221"/>
      <c r="O269" s="221"/>
      <c r="P269" s="221"/>
    </row>
    <row r="270" spans="1:16" ht="15">
      <c r="A270" s="217"/>
      <c r="B270" s="218"/>
      <c r="C270" s="221"/>
      <c r="D270" s="222"/>
      <c r="E270" s="223"/>
      <c r="F270" s="221"/>
      <c r="G270" s="221"/>
      <c r="H270" s="191"/>
      <c r="I270" s="191"/>
      <c r="J270" s="191"/>
      <c r="K270" s="191"/>
      <c r="L270" s="221"/>
      <c r="M270" s="221"/>
      <c r="N270" s="221"/>
      <c r="O270" s="221"/>
      <c r="P270" s="221"/>
    </row>
    <row r="271" spans="1:16" ht="15">
      <c r="A271" s="217"/>
      <c r="B271" s="218"/>
      <c r="C271" s="221"/>
      <c r="D271" s="222"/>
      <c r="E271" s="223"/>
      <c r="F271" s="221"/>
      <c r="G271" s="221"/>
      <c r="H271" s="191"/>
      <c r="I271" s="191"/>
      <c r="J271" s="191"/>
      <c r="K271" s="191"/>
      <c r="L271" s="221"/>
      <c r="M271" s="221"/>
      <c r="N271" s="221"/>
      <c r="O271" s="221"/>
      <c r="P271" s="221"/>
    </row>
    <row r="272" spans="1:16" ht="15">
      <c r="A272" s="217"/>
      <c r="B272" s="218"/>
      <c r="C272" s="221"/>
      <c r="D272" s="222"/>
      <c r="E272" s="223"/>
      <c r="F272" s="221"/>
      <c r="G272" s="221"/>
      <c r="H272" s="191"/>
      <c r="I272" s="191"/>
      <c r="J272" s="191"/>
      <c r="K272" s="191"/>
      <c r="L272" s="221"/>
      <c r="M272" s="221"/>
      <c r="N272" s="221"/>
      <c r="O272" s="221"/>
      <c r="P272" s="221"/>
    </row>
    <row r="273" spans="1:16" ht="15">
      <c r="A273" s="217"/>
      <c r="B273" s="218"/>
      <c r="C273" s="221"/>
      <c r="D273" s="222"/>
      <c r="E273" s="223"/>
      <c r="F273" s="221"/>
      <c r="G273" s="221"/>
      <c r="H273" s="191"/>
      <c r="I273" s="191"/>
      <c r="J273" s="191"/>
      <c r="K273" s="191"/>
      <c r="L273" s="221"/>
      <c r="M273" s="221"/>
      <c r="N273" s="221"/>
      <c r="O273" s="221"/>
      <c r="P273" s="221"/>
    </row>
    <row r="274" spans="1:16" ht="15">
      <c r="A274" s="217"/>
      <c r="B274" s="218"/>
      <c r="C274" s="221"/>
      <c r="D274" s="222"/>
      <c r="E274" s="223"/>
      <c r="F274" s="221"/>
      <c r="G274" s="221"/>
      <c r="H274" s="191"/>
      <c r="I274" s="191"/>
      <c r="J274" s="191"/>
      <c r="K274" s="191"/>
      <c r="L274" s="221"/>
      <c r="M274" s="221"/>
      <c r="N274" s="221"/>
      <c r="O274" s="221"/>
      <c r="P274" s="221"/>
    </row>
    <row r="275" spans="1:16" ht="15">
      <c r="A275" s="217"/>
      <c r="B275" s="218"/>
      <c r="C275" s="221"/>
      <c r="D275" s="222"/>
      <c r="E275" s="223"/>
      <c r="F275" s="221"/>
      <c r="G275" s="221"/>
      <c r="H275" s="191"/>
      <c r="I275" s="191"/>
      <c r="J275" s="191"/>
      <c r="K275" s="191"/>
      <c r="L275" s="221"/>
      <c r="M275" s="221"/>
      <c r="N275" s="221"/>
      <c r="O275" s="221"/>
      <c r="P275" s="221"/>
    </row>
    <row r="276" spans="1:16" ht="15">
      <c r="A276" s="217"/>
      <c r="B276" s="218"/>
      <c r="C276" s="221"/>
      <c r="D276" s="222"/>
      <c r="E276" s="223"/>
      <c r="F276" s="221"/>
      <c r="G276" s="221"/>
      <c r="H276" s="191"/>
      <c r="I276" s="191"/>
      <c r="J276" s="191"/>
      <c r="K276" s="191"/>
      <c r="L276" s="221"/>
      <c r="M276" s="221"/>
      <c r="N276" s="221"/>
      <c r="O276" s="221"/>
      <c r="P276" s="221"/>
    </row>
    <row r="277" spans="1:16" ht="15">
      <c r="A277" s="217"/>
      <c r="B277" s="218"/>
      <c r="C277" s="221"/>
      <c r="D277" s="222"/>
      <c r="E277" s="223"/>
      <c r="F277" s="221"/>
      <c r="G277" s="221"/>
      <c r="H277" s="191"/>
      <c r="I277" s="191"/>
      <c r="J277" s="191"/>
      <c r="K277" s="191"/>
      <c r="L277" s="221"/>
      <c r="M277" s="221"/>
      <c r="N277" s="221"/>
      <c r="O277" s="221"/>
      <c r="P277" s="221"/>
    </row>
    <row r="278" spans="1:16" ht="15">
      <c r="A278" s="217"/>
      <c r="B278" s="218"/>
      <c r="C278" s="221"/>
      <c r="D278" s="222"/>
      <c r="E278" s="223"/>
      <c r="F278" s="221"/>
      <c r="G278" s="221"/>
      <c r="H278" s="191"/>
      <c r="I278" s="191"/>
      <c r="J278" s="191"/>
      <c r="K278" s="191"/>
      <c r="L278" s="221"/>
      <c r="M278" s="221"/>
      <c r="N278" s="221"/>
      <c r="O278" s="221"/>
      <c r="P278" s="221"/>
    </row>
    <row r="279" spans="1:16" ht="15">
      <c r="A279" s="217"/>
      <c r="B279" s="218"/>
      <c r="C279" s="221"/>
      <c r="D279" s="222"/>
      <c r="E279" s="223"/>
      <c r="F279" s="221"/>
      <c r="G279" s="221"/>
      <c r="H279" s="191"/>
      <c r="I279" s="191"/>
      <c r="J279" s="191"/>
      <c r="K279" s="191"/>
      <c r="L279" s="221"/>
      <c r="M279" s="221"/>
      <c r="N279" s="221"/>
      <c r="O279" s="221"/>
      <c r="P279" s="221"/>
    </row>
    <row r="280" spans="1:16" ht="15">
      <c r="A280" s="217"/>
      <c r="B280" s="218"/>
      <c r="C280" s="221"/>
      <c r="D280" s="222"/>
      <c r="E280" s="223"/>
      <c r="F280" s="221"/>
      <c r="G280" s="221"/>
      <c r="H280" s="191"/>
      <c r="I280" s="191"/>
      <c r="J280" s="191"/>
      <c r="K280" s="191"/>
      <c r="L280" s="221"/>
      <c r="M280" s="221"/>
      <c r="N280" s="221"/>
      <c r="O280" s="221"/>
      <c r="P280" s="221"/>
    </row>
    <row r="281" spans="1:16" ht="15">
      <c r="A281" s="217"/>
      <c r="B281" s="218"/>
      <c r="C281" s="221"/>
      <c r="D281" s="222"/>
      <c r="E281" s="223"/>
      <c r="F281" s="221"/>
      <c r="G281" s="221"/>
      <c r="H281" s="191"/>
      <c r="I281" s="191"/>
      <c r="J281" s="191"/>
      <c r="K281" s="191"/>
      <c r="L281" s="221"/>
      <c r="M281" s="221"/>
      <c r="N281" s="221"/>
      <c r="O281" s="221"/>
      <c r="P281" s="221"/>
    </row>
    <row r="282" spans="1:16" ht="15">
      <c r="A282" s="217"/>
      <c r="B282" s="218"/>
      <c r="C282" s="221"/>
      <c r="D282" s="222"/>
      <c r="E282" s="223"/>
      <c r="F282" s="221"/>
      <c r="G282" s="221"/>
      <c r="H282" s="191"/>
      <c r="I282" s="191"/>
      <c r="J282" s="191"/>
      <c r="K282" s="191"/>
      <c r="L282" s="221"/>
      <c r="M282" s="221"/>
      <c r="N282" s="221"/>
      <c r="O282" s="221"/>
      <c r="P282" s="221"/>
    </row>
    <row r="283" spans="1:16" ht="15">
      <c r="A283" s="217"/>
      <c r="B283" s="218"/>
      <c r="C283" s="221"/>
      <c r="D283" s="222"/>
      <c r="E283" s="223"/>
      <c r="F283" s="221"/>
      <c r="G283" s="221"/>
      <c r="H283" s="191"/>
      <c r="I283" s="191"/>
      <c r="J283" s="191"/>
      <c r="K283" s="191"/>
      <c r="L283" s="221"/>
      <c r="M283" s="221"/>
      <c r="N283" s="221"/>
      <c r="O283" s="221"/>
      <c r="P283" s="221"/>
    </row>
    <row r="284" spans="1:16" ht="15">
      <c r="A284" s="217"/>
      <c r="B284" s="218"/>
      <c r="C284" s="221"/>
      <c r="D284" s="222"/>
      <c r="E284" s="223"/>
      <c r="F284" s="221"/>
      <c r="G284" s="221"/>
      <c r="H284" s="191"/>
      <c r="I284" s="191"/>
      <c r="J284" s="191"/>
      <c r="K284" s="191"/>
      <c r="L284" s="221"/>
      <c r="M284" s="221"/>
      <c r="N284" s="221"/>
      <c r="O284" s="221"/>
      <c r="P284" s="221"/>
    </row>
    <row r="285" spans="1:16" ht="15">
      <c r="A285" s="217"/>
      <c r="B285" s="218"/>
      <c r="C285" s="221"/>
      <c r="D285" s="222"/>
      <c r="E285" s="223"/>
      <c r="F285" s="221"/>
      <c r="G285" s="221"/>
      <c r="H285" s="191"/>
      <c r="I285" s="191"/>
      <c r="J285" s="191"/>
      <c r="K285" s="191"/>
      <c r="L285" s="221"/>
      <c r="M285" s="221"/>
      <c r="N285" s="221"/>
      <c r="O285" s="221"/>
      <c r="P285" s="221"/>
    </row>
    <row r="286" spans="1:16" ht="15">
      <c r="A286" s="217"/>
      <c r="B286" s="218"/>
      <c r="C286" s="221"/>
      <c r="D286" s="222"/>
      <c r="E286" s="223"/>
      <c r="F286" s="221"/>
      <c r="G286" s="221"/>
      <c r="H286" s="191"/>
      <c r="I286" s="191"/>
      <c r="J286" s="191"/>
      <c r="K286" s="191"/>
      <c r="L286" s="221"/>
      <c r="M286" s="221"/>
      <c r="N286" s="221"/>
      <c r="O286" s="221"/>
      <c r="P286" s="221"/>
    </row>
    <row r="287" spans="1:16" ht="15">
      <c r="A287" s="217"/>
      <c r="B287" s="218"/>
      <c r="C287" s="221"/>
      <c r="D287" s="222"/>
      <c r="E287" s="223"/>
      <c r="F287" s="221"/>
      <c r="G287" s="221"/>
      <c r="H287" s="191"/>
      <c r="I287" s="191"/>
      <c r="J287" s="191"/>
      <c r="K287" s="191"/>
      <c r="L287" s="221"/>
      <c r="M287" s="221"/>
      <c r="N287" s="221"/>
      <c r="O287" s="221"/>
      <c r="P287" s="221"/>
    </row>
    <row r="288" spans="1:16" ht="15">
      <c r="A288" s="217"/>
      <c r="B288" s="218"/>
      <c r="C288" s="221"/>
      <c r="D288" s="222"/>
      <c r="E288" s="223"/>
      <c r="F288" s="221"/>
      <c r="G288" s="221"/>
      <c r="H288" s="191"/>
      <c r="I288" s="191"/>
      <c r="J288" s="191"/>
      <c r="K288" s="191"/>
      <c r="L288" s="221"/>
      <c r="M288" s="221"/>
      <c r="N288" s="221"/>
      <c r="O288" s="221"/>
      <c r="P288" s="221"/>
    </row>
    <row r="289" spans="1:16" ht="15">
      <c r="A289" s="217"/>
      <c r="B289" s="218"/>
      <c r="C289" s="221"/>
      <c r="D289" s="222"/>
      <c r="E289" s="223"/>
      <c r="F289" s="221"/>
      <c r="G289" s="221"/>
      <c r="H289" s="191"/>
      <c r="I289" s="191"/>
      <c r="J289" s="191"/>
      <c r="K289" s="191"/>
      <c r="L289" s="221"/>
      <c r="M289" s="221"/>
      <c r="N289" s="221"/>
      <c r="O289" s="221"/>
      <c r="P289" s="221"/>
    </row>
    <row r="290" spans="1:16" ht="15">
      <c r="A290" s="217"/>
      <c r="B290" s="218"/>
      <c r="C290" s="221"/>
      <c r="D290" s="222"/>
      <c r="E290" s="223"/>
      <c r="F290" s="221"/>
      <c r="G290" s="221"/>
      <c r="H290" s="191"/>
      <c r="I290" s="191"/>
      <c r="J290" s="191"/>
      <c r="K290" s="191"/>
      <c r="L290" s="221"/>
      <c r="M290" s="221"/>
      <c r="N290" s="221"/>
      <c r="O290" s="221"/>
      <c r="P290" s="221"/>
    </row>
    <row r="291" spans="1:16" ht="15">
      <c r="A291" s="217"/>
      <c r="B291" s="218"/>
      <c r="C291" s="221"/>
      <c r="D291" s="222"/>
      <c r="E291" s="223"/>
      <c r="F291" s="221"/>
      <c r="G291" s="221"/>
      <c r="H291" s="191"/>
      <c r="I291" s="191"/>
      <c r="J291" s="191"/>
      <c r="K291" s="191"/>
      <c r="L291" s="221"/>
      <c r="M291" s="221"/>
      <c r="N291" s="221"/>
      <c r="O291" s="221"/>
      <c r="P291" s="221"/>
    </row>
    <row r="292" spans="1:16" ht="15">
      <c r="A292" s="217"/>
      <c r="B292" s="218"/>
      <c r="C292" s="221"/>
      <c r="D292" s="222"/>
      <c r="E292" s="223"/>
      <c r="F292" s="221"/>
      <c r="G292" s="221"/>
      <c r="H292" s="191"/>
      <c r="I292" s="191"/>
      <c r="J292" s="191"/>
      <c r="K292" s="191"/>
      <c r="L292" s="221"/>
      <c r="M292" s="221"/>
      <c r="N292" s="221"/>
      <c r="O292" s="221"/>
      <c r="P292" s="221"/>
    </row>
    <row r="293" spans="1:16" ht="15">
      <c r="A293" s="217"/>
      <c r="B293" s="218"/>
      <c r="C293" s="221"/>
      <c r="D293" s="222"/>
      <c r="E293" s="223"/>
      <c r="F293" s="221"/>
      <c r="G293" s="221"/>
      <c r="H293" s="191"/>
      <c r="I293" s="191"/>
      <c r="J293" s="191"/>
      <c r="K293" s="191"/>
      <c r="L293" s="221"/>
      <c r="M293" s="221"/>
      <c r="N293" s="221"/>
      <c r="O293" s="221"/>
      <c r="P293" s="221"/>
    </row>
    <row r="294" spans="1:16" ht="15">
      <c r="A294" s="217"/>
      <c r="B294" s="218"/>
      <c r="C294" s="221"/>
      <c r="D294" s="222"/>
      <c r="E294" s="223"/>
      <c r="F294" s="221"/>
      <c r="G294" s="221"/>
      <c r="H294" s="191"/>
      <c r="I294" s="191"/>
      <c r="J294" s="191"/>
      <c r="K294" s="191"/>
      <c r="L294" s="221"/>
      <c r="M294" s="221"/>
      <c r="N294" s="221"/>
      <c r="O294" s="221"/>
      <c r="P294" s="221"/>
    </row>
    <row r="295" spans="1:16" ht="15">
      <c r="A295" s="217"/>
      <c r="B295" s="218"/>
      <c r="C295" s="221"/>
      <c r="D295" s="222"/>
      <c r="E295" s="223"/>
      <c r="F295" s="221"/>
      <c r="G295" s="221"/>
      <c r="H295" s="191"/>
      <c r="I295" s="191"/>
      <c r="J295" s="191"/>
      <c r="K295" s="191"/>
      <c r="L295" s="221"/>
      <c r="M295" s="221"/>
      <c r="N295" s="221"/>
      <c r="O295" s="221"/>
      <c r="P295" s="221"/>
    </row>
    <row r="296" spans="1:16" ht="15">
      <c r="A296" s="217"/>
      <c r="B296" s="218"/>
      <c r="C296" s="221"/>
      <c r="D296" s="222"/>
      <c r="E296" s="223"/>
      <c r="F296" s="221"/>
      <c r="G296" s="221"/>
      <c r="H296" s="191"/>
      <c r="I296" s="191"/>
      <c r="J296" s="191"/>
      <c r="K296" s="191"/>
      <c r="L296" s="221"/>
      <c r="M296" s="221"/>
      <c r="N296" s="221"/>
      <c r="O296" s="221"/>
      <c r="P296" s="221"/>
    </row>
    <row r="297" spans="1:16" ht="15">
      <c r="A297" s="217"/>
      <c r="B297" s="218"/>
      <c r="C297" s="221"/>
      <c r="D297" s="222"/>
      <c r="E297" s="223"/>
      <c r="F297" s="221"/>
      <c r="G297" s="221"/>
      <c r="H297" s="191"/>
      <c r="I297" s="191"/>
      <c r="J297" s="191"/>
      <c r="K297" s="191"/>
      <c r="L297" s="221"/>
      <c r="M297" s="221"/>
      <c r="N297" s="221"/>
      <c r="O297" s="221"/>
      <c r="P297" s="221"/>
    </row>
    <row r="298" spans="1:16" ht="15">
      <c r="A298" s="217"/>
      <c r="B298" s="218"/>
      <c r="C298" s="221"/>
      <c r="D298" s="222"/>
      <c r="E298" s="223"/>
      <c r="F298" s="221"/>
      <c r="G298" s="221"/>
      <c r="H298" s="191"/>
      <c r="I298" s="191"/>
      <c r="J298" s="191"/>
      <c r="K298" s="191"/>
      <c r="L298" s="221"/>
      <c r="M298" s="221"/>
      <c r="N298" s="221"/>
      <c r="O298" s="221"/>
      <c r="P298" s="221"/>
    </row>
    <row r="299" spans="1:16" ht="15">
      <c r="A299" s="217"/>
      <c r="B299" s="218"/>
      <c r="C299" s="221"/>
      <c r="D299" s="222"/>
      <c r="E299" s="223"/>
      <c r="F299" s="221"/>
      <c r="G299" s="221"/>
      <c r="H299" s="191"/>
      <c r="I299" s="191"/>
      <c r="J299" s="191"/>
      <c r="K299" s="191"/>
      <c r="L299" s="221"/>
      <c r="M299" s="221"/>
      <c r="N299" s="221"/>
      <c r="O299" s="221"/>
      <c r="P299" s="221"/>
    </row>
    <row r="300" spans="1:16" ht="15">
      <c r="A300" s="217"/>
      <c r="B300" s="218"/>
      <c r="C300" s="221"/>
      <c r="D300" s="222"/>
      <c r="E300" s="223"/>
      <c r="F300" s="221"/>
      <c r="G300" s="221"/>
      <c r="H300" s="191"/>
      <c r="I300" s="191"/>
      <c r="J300" s="191"/>
      <c r="K300" s="191"/>
      <c r="L300" s="221"/>
      <c r="M300" s="221"/>
      <c r="N300" s="221"/>
      <c r="O300" s="221"/>
      <c r="P300" s="221"/>
    </row>
    <row r="301" spans="1:16" ht="15">
      <c r="A301" s="217"/>
      <c r="B301" s="218"/>
      <c r="C301" s="221"/>
      <c r="D301" s="222"/>
      <c r="E301" s="223"/>
      <c r="F301" s="221"/>
      <c r="G301" s="221"/>
      <c r="H301" s="191"/>
      <c r="I301" s="191"/>
      <c r="J301" s="191"/>
      <c r="K301" s="191"/>
      <c r="L301" s="221"/>
      <c r="M301" s="221"/>
      <c r="N301" s="221"/>
      <c r="O301" s="221"/>
      <c r="P301" s="221"/>
    </row>
    <row r="302" spans="1:16" ht="15">
      <c r="A302" s="217"/>
      <c r="B302" s="218"/>
      <c r="C302" s="221"/>
      <c r="D302" s="222"/>
      <c r="E302" s="223"/>
      <c r="F302" s="221"/>
      <c r="G302" s="221"/>
      <c r="H302" s="191"/>
      <c r="I302" s="191"/>
      <c r="J302" s="191"/>
      <c r="K302" s="191"/>
      <c r="L302" s="221"/>
      <c r="M302" s="221"/>
      <c r="N302" s="221"/>
      <c r="O302" s="221"/>
      <c r="P302" s="221"/>
    </row>
    <row r="303" spans="1:16" ht="15">
      <c r="A303" s="217"/>
      <c r="B303" s="218"/>
      <c r="C303" s="221"/>
      <c r="D303" s="222"/>
      <c r="E303" s="223"/>
      <c r="F303" s="221"/>
      <c r="G303" s="221"/>
      <c r="H303" s="191"/>
      <c r="I303" s="191"/>
      <c r="J303" s="191"/>
      <c r="K303" s="191"/>
      <c r="L303" s="221"/>
      <c r="M303" s="221"/>
      <c r="N303" s="221"/>
      <c r="O303" s="221"/>
      <c r="P303" s="221"/>
    </row>
    <row r="304" spans="1:16" ht="15">
      <c r="A304" s="217"/>
      <c r="B304" s="218"/>
      <c r="C304" s="221"/>
      <c r="D304" s="222"/>
      <c r="E304" s="223"/>
      <c r="F304" s="221"/>
      <c r="G304" s="221"/>
      <c r="H304" s="191"/>
      <c r="I304" s="191"/>
      <c r="J304" s="191"/>
      <c r="K304" s="191"/>
      <c r="L304" s="221"/>
      <c r="M304" s="221"/>
      <c r="N304" s="221"/>
      <c r="O304" s="221"/>
      <c r="P304" s="221"/>
    </row>
    <row r="305" spans="1:16" ht="15">
      <c r="A305" s="217"/>
      <c r="B305" s="218"/>
      <c r="C305" s="221"/>
      <c r="D305" s="222"/>
      <c r="E305" s="223"/>
      <c r="F305" s="221"/>
      <c r="G305" s="221"/>
      <c r="H305" s="191"/>
      <c r="I305" s="191"/>
      <c r="J305" s="191"/>
      <c r="K305" s="191"/>
      <c r="L305" s="221"/>
      <c r="M305" s="221"/>
      <c r="N305" s="221"/>
      <c r="O305" s="221"/>
      <c r="P305" s="221"/>
    </row>
    <row r="306" spans="1:16" ht="15">
      <c r="A306" s="217"/>
      <c r="B306" s="218"/>
      <c r="C306" s="221"/>
      <c r="D306" s="222"/>
      <c r="E306" s="223"/>
      <c r="F306" s="221"/>
      <c r="G306" s="221"/>
      <c r="H306" s="191"/>
      <c r="I306" s="191"/>
      <c r="J306" s="191"/>
      <c r="K306" s="191"/>
      <c r="L306" s="221"/>
      <c r="M306" s="221"/>
      <c r="N306" s="221"/>
      <c r="O306" s="221"/>
      <c r="P306" s="221"/>
    </row>
    <row r="307" spans="1:16" ht="15">
      <c r="A307" s="217"/>
      <c r="B307" s="218"/>
      <c r="C307" s="221"/>
      <c r="D307" s="222"/>
      <c r="E307" s="223"/>
      <c r="F307" s="221"/>
      <c r="G307" s="221"/>
      <c r="H307" s="191"/>
      <c r="I307" s="191"/>
      <c r="J307" s="191"/>
      <c r="K307" s="191"/>
      <c r="L307" s="221"/>
      <c r="M307" s="221"/>
      <c r="N307" s="221"/>
      <c r="O307" s="221"/>
      <c r="P307" s="221"/>
    </row>
    <row r="308" spans="1:16" ht="15">
      <c r="A308" s="217"/>
      <c r="B308" s="218"/>
      <c r="C308" s="221"/>
      <c r="D308" s="222"/>
      <c r="E308" s="223"/>
      <c r="F308" s="221"/>
      <c r="G308" s="221"/>
      <c r="H308" s="191"/>
      <c r="I308" s="191"/>
      <c r="J308" s="191"/>
      <c r="K308" s="191"/>
      <c r="L308" s="221"/>
      <c r="M308" s="221"/>
      <c r="N308" s="221"/>
      <c r="O308" s="221"/>
      <c r="P308" s="221"/>
    </row>
    <row r="309" spans="1:16" ht="15">
      <c r="A309" s="217"/>
      <c r="B309" s="218"/>
      <c r="C309" s="221"/>
      <c r="D309" s="222"/>
      <c r="E309" s="223"/>
      <c r="F309" s="221"/>
      <c r="G309" s="221"/>
      <c r="H309" s="191"/>
      <c r="I309" s="191"/>
      <c r="J309" s="191"/>
      <c r="K309" s="191"/>
      <c r="L309" s="221"/>
      <c r="M309" s="221"/>
      <c r="N309" s="221"/>
      <c r="O309" s="221"/>
      <c r="P309" s="221"/>
    </row>
    <row r="310" spans="1:16" ht="15">
      <c r="A310" s="217"/>
      <c r="B310" s="218"/>
      <c r="C310" s="221"/>
      <c r="D310" s="222"/>
      <c r="E310" s="223"/>
      <c r="F310" s="221"/>
      <c r="G310" s="221"/>
      <c r="H310" s="191"/>
      <c r="I310" s="191"/>
      <c r="J310" s="191"/>
      <c r="K310" s="191"/>
      <c r="L310" s="221"/>
      <c r="M310" s="221"/>
      <c r="N310" s="221"/>
      <c r="O310" s="221"/>
      <c r="P310" s="221"/>
    </row>
    <row r="311" spans="1:16" ht="15">
      <c r="A311" s="217"/>
      <c r="B311" s="218"/>
      <c r="C311" s="221"/>
      <c r="D311" s="222"/>
      <c r="E311" s="223"/>
      <c r="F311" s="221"/>
      <c r="G311" s="221"/>
      <c r="H311" s="191"/>
      <c r="I311" s="191"/>
      <c r="J311" s="191"/>
      <c r="K311" s="191"/>
      <c r="L311" s="221"/>
      <c r="M311" s="221"/>
      <c r="N311" s="221"/>
      <c r="O311" s="221"/>
      <c r="P311" s="221"/>
    </row>
    <row r="312" spans="1:16" ht="15">
      <c r="A312" s="217"/>
      <c r="B312" s="218"/>
      <c r="C312" s="221"/>
      <c r="D312" s="222"/>
      <c r="E312" s="223"/>
      <c r="F312" s="221"/>
      <c r="G312" s="221"/>
      <c r="H312" s="191"/>
      <c r="I312" s="191"/>
      <c r="J312" s="191"/>
      <c r="K312" s="191"/>
      <c r="L312" s="221"/>
      <c r="M312" s="221"/>
      <c r="N312" s="221"/>
      <c r="O312" s="221"/>
      <c r="P312" s="221"/>
    </row>
    <row r="313" spans="1:16" ht="15">
      <c r="A313" s="217"/>
      <c r="B313" s="218"/>
      <c r="C313" s="221"/>
      <c r="D313" s="222"/>
      <c r="E313" s="223"/>
      <c r="F313" s="221"/>
      <c r="G313" s="221"/>
      <c r="H313" s="191"/>
      <c r="I313" s="191"/>
      <c r="J313" s="191"/>
      <c r="K313" s="191"/>
      <c r="L313" s="221"/>
      <c r="M313" s="221"/>
      <c r="N313" s="221"/>
      <c r="O313" s="221"/>
      <c r="P313" s="221"/>
    </row>
    <row r="314" spans="1:16" ht="15">
      <c r="A314" s="217"/>
      <c r="B314" s="218"/>
      <c r="C314" s="221"/>
      <c r="D314" s="222"/>
      <c r="E314" s="223"/>
      <c r="F314" s="221"/>
      <c r="G314" s="221"/>
      <c r="H314" s="191"/>
      <c r="I314" s="191"/>
      <c r="J314" s="191"/>
      <c r="K314" s="191"/>
      <c r="L314" s="221"/>
      <c r="M314" s="221"/>
      <c r="N314" s="221"/>
      <c r="O314" s="221"/>
      <c r="P314" s="221"/>
    </row>
    <row r="315" spans="1:16" ht="15">
      <c r="A315" s="217"/>
      <c r="B315" s="218"/>
      <c r="C315" s="221"/>
      <c r="D315" s="222"/>
      <c r="E315" s="223"/>
      <c r="F315" s="221"/>
      <c r="G315" s="221"/>
      <c r="H315" s="191"/>
      <c r="I315" s="191"/>
      <c r="J315" s="191"/>
      <c r="K315" s="191"/>
      <c r="L315" s="221"/>
      <c r="M315" s="221"/>
      <c r="N315" s="221"/>
      <c r="O315" s="221"/>
      <c r="P315" s="221"/>
    </row>
    <row r="316" spans="1:16" ht="15">
      <c r="A316" s="217"/>
      <c r="B316" s="218"/>
      <c r="C316" s="221"/>
      <c r="D316" s="222"/>
      <c r="E316" s="223"/>
      <c r="F316" s="221"/>
      <c r="G316" s="221"/>
      <c r="H316" s="191"/>
      <c r="I316" s="191"/>
      <c r="J316" s="191"/>
      <c r="K316" s="191"/>
      <c r="L316" s="221"/>
      <c r="M316" s="221"/>
      <c r="N316" s="221"/>
      <c r="O316" s="221"/>
      <c r="P316" s="221"/>
    </row>
    <row r="317" spans="1:16" ht="15">
      <c r="A317" s="217"/>
      <c r="B317" s="218"/>
      <c r="C317" s="221"/>
      <c r="D317" s="222"/>
      <c r="E317" s="223"/>
      <c r="F317" s="221"/>
      <c r="G317" s="221"/>
      <c r="H317" s="191"/>
      <c r="I317" s="191"/>
      <c r="J317" s="191"/>
      <c r="K317" s="191"/>
      <c r="L317" s="221"/>
      <c r="M317" s="221"/>
      <c r="N317" s="221"/>
      <c r="O317" s="221"/>
      <c r="P317" s="221"/>
    </row>
    <row r="318" spans="1:16" ht="15">
      <c r="A318" s="217"/>
      <c r="B318" s="218"/>
      <c r="C318" s="221"/>
      <c r="D318" s="222"/>
      <c r="E318" s="223"/>
      <c r="F318" s="221"/>
      <c r="G318" s="221"/>
      <c r="H318" s="191"/>
      <c r="I318" s="191"/>
      <c r="J318" s="191"/>
      <c r="K318" s="191"/>
      <c r="L318" s="221"/>
      <c r="M318" s="221"/>
      <c r="N318" s="221"/>
      <c r="O318" s="221"/>
      <c r="P318" s="221"/>
    </row>
    <row r="319" spans="1:16" ht="15">
      <c r="A319" s="217"/>
      <c r="B319" s="218"/>
      <c r="C319" s="221"/>
      <c r="D319" s="222"/>
      <c r="E319" s="223"/>
      <c r="F319" s="221"/>
      <c r="G319" s="221"/>
      <c r="H319" s="191"/>
      <c r="I319" s="191"/>
      <c r="J319" s="191"/>
      <c r="K319" s="191"/>
      <c r="L319" s="221"/>
      <c r="M319" s="221"/>
      <c r="N319" s="221"/>
      <c r="O319" s="221"/>
      <c r="P319" s="221"/>
    </row>
    <row r="320" spans="1:16" ht="15">
      <c r="A320" s="217"/>
      <c r="B320" s="218"/>
      <c r="C320" s="221"/>
      <c r="D320" s="222"/>
      <c r="E320" s="223"/>
      <c r="F320" s="221"/>
      <c r="G320" s="221"/>
      <c r="H320" s="191"/>
      <c r="I320" s="191"/>
      <c r="J320" s="191"/>
      <c r="K320" s="191"/>
      <c r="L320" s="221"/>
      <c r="M320" s="221"/>
      <c r="N320" s="221"/>
      <c r="O320" s="221"/>
      <c r="P320" s="221"/>
    </row>
    <row r="321" spans="1:16" ht="15">
      <c r="A321" s="217"/>
      <c r="B321" s="218"/>
      <c r="C321" s="221"/>
      <c r="D321" s="222"/>
      <c r="E321" s="223"/>
      <c r="F321" s="221"/>
      <c r="G321" s="221"/>
      <c r="H321" s="191"/>
      <c r="I321" s="191"/>
      <c r="J321" s="191"/>
      <c r="K321" s="191"/>
      <c r="L321" s="221"/>
      <c r="M321" s="221"/>
      <c r="N321" s="221"/>
      <c r="O321" s="221"/>
      <c r="P321" s="221"/>
    </row>
    <row r="322" spans="1:16" ht="15">
      <c r="A322" s="217"/>
      <c r="B322" s="218"/>
      <c r="C322" s="221"/>
      <c r="D322" s="222"/>
      <c r="E322" s="223"/>
      <c r="F322" s="221"/>
      <c r="G322" s="221"/>
      <c r="H322" s="191"/>
      <c r="I322" s="191"/>
      <c r="J322" s="191"/>
      <c r="K322" s="191"/>
      <c r="L322" s="221"/>
      <c r="M322" s="221"/>
      <c r="N322" s="221"/>
      <c r="O322" s="221"/>
      <c r="P322" s="221"/>
    </row>
    <row r="323" spans="1:16" ht="15">
      <c r="A323" s="217"/>
      <c r="B323" s="218"/>
      <c r="C323" s="221"/>
      <c r="D323" s="222"/>
      <c r="E323" s="223"/>
      <c r="F323" s="221"/>
      <c r="G323" s="221"/>
      <c r="H323" s="191"/>
      <c r="I323" s="191"/>
      <c r="J323" s="191"/>
      <c r="K323" s="191"/>
      <c r="L323" s="221"/>
      <c r="M323" s="221"/>
      <c r="N323" s="221"/>
      <c r="O323" s="221"/>
      <c r="P323" s="221"/>
    </row>
    <row r="324" spans="1:16" ht="15">
      <c r="A324" s="217"/>
      <c r="B324" s="218"/>
      <c r="C324" s="221"/>
      <c r="D324" s="222"/>
      <c r="E324" s="223"/>
      <c r="F324" s="221"/>
      <c r="G324" s="221"/>
      <c r="H324" s="191"/>
      <c r="I324" s="191"/>
      <c r="J324" s="191"/>
      <c r="K324" s="191"/>
      <c r="L324" s="221"/>
      <c r="M324" s="221"/>
      <c r="N324" s="221"/>
      <c r="O324" s="221"/>
      <c r="P324" s="221"/>
    </row>
    <row r="325" spans="1:16" ht="15">
      <c r="A325" s="217"/>
      <c r="B325" s="218"/>
      <c r="C325" s="221"/>
      <c r="D325" s="222"/>
      <c r="E325" s="223"/>
      <c r="F325" s="221"/>
      <c r="G325" s="221"/>
      <c r="H325" s="191"/>
      <c r="I325" s="191"/>
      <c r="J325" s="191"/>
      <c r="K325" s="191"/>
      <c r="L325" s="221"/>
      <c r="M325" s="221"/>
      <c r="N325" s="221"/>
      <c r="O325" s="221"/>
      <c r="P325" s="221"/>
    </row>
    <row r="326" spans="1:16" ht="15">
      <c r="A326" s="217"/>
      <c r="B326" s="218"/>
      <c r="C326" s="221"/>
      <c r="D326" s="222"/>
      <c r="E326" s="223"/>
      <c r="F326" s="221"/>
      <c r="G326" s="221"/>
      <c r="H326" s="191"/>
      <c r="I326" s="191"/>
      <c r="J326" s="191"/>
      <c r="K326" s="191"/>
      <c r="L326" s="221"/>
      <c r="M326" s="221"/>
      <c r="N326" s="221"/>
      <c r="O326" s="221"/>
      <c r="P326" s="221"/>
    </row>
    <row r="327" spans="1:16" ht="15">
      <c r="A327" s="217"/>
      <c r="B327" s="218"/>
      <c r="C327" s="221"/>
      <c r="D327" s="222"/>
      <c r="E327" s="223"/>
      <c r="F327" s="221"/>
      <c r="G327" s="221"/>
      <c r="H327" s="191"/>
      <c r="I327" s="191"/>
      <c r="J327" s="191"/>
      <c r="K327" s="191"/>
      <c r="L327" s="221"/>
      <c r="M327" s="221"/>
      <c r="N327" s="221"/>
      <c r="O327" s="221"/>
      <c r="P327" s="221"/>
    </row>
    <row r="328" spans="1:16" ht="15">
      <c r="A328" s="217"/>
      <c r="B328" s="218"/>
      <c r="C328" s="221"/>
      <c r="D328" s="222"/>
      <c r="E328" s="223"/>
      <c r="F328" s="221"/>
      <c r="G328" s="221"/>
      <c r="H328" s="191"/>
      <c r="I328" s="191"/>
      <c r="J328" s="191"/>
      <c r="K328" s="191"/>
      <c r="L328" s="221"/>
      <c r="M328" s="221"/>
      <c r="N328" s="221"/>
      <c r="O328" s="221"/>
      <c r="P328" s="221"/>
    </row>
    <row r="329" spans="1:16" ht="15">
      <c r="A329" s="217"/>
      <c r="B329" s="218"/>
      <c r="C329" s="221"/>
      <c r="D329" s="222"/>
      <c r="E329" s="223"/>
      <c r="F329" s="221"/>
      <c r="G329" s="221"/>
      <c r="H329" s="191"/>
      <c r="I329" s="191"/>
      <c r="J329" s="191"/>
      <c r="K329" s="191"/>
      <c r="L329" s="221"/>
      <c r="M329" s="221"/>
      <c r="N329" s="221"/>
      <c r="O329" s="221"/>
      <c r="P329" s="221"/>
    </row>
    <row r="330" spans="1:16" ht="15">
      <c r="A330" s="217"/>
      <c r="B330" s="218"/>
      <c r="C330" s="221"/>
      <c r="D330" s="222"/>
      <c r="E330" s="223"/>
      <c r="F330" s="221"/>
      <c r="G330" s="221"/>
      <c r="H330" s="191"/>
      <c r="I330" s="191"/>
      <c r="J330" s="191"/>
      <c r="K330" s="191"/>
      <c r="L330" s="221"/>
      <c r="M330" s="221"/>
      <c r="N330" s="221"/>
      <c r="O330" s="221"/>
      <c r="P330" s="221"/>
    </row>
    <row r="331" spans="1:16" ht="15">
      <c r="A331" s="217"/>
      <c r="B331" s="218"/>
      <c r="C331" s="221"/>
      <c r="D331" s="222"/>
      <c r="E331" s="223"/>
      <c r="F331" s="221"/>
      <c r="G331" s="221"/>
      <c r="H331" s="191"/>
      <c r="I331" s="191"/>
      <c r="J331" s="191"/>
      <c r="K331" s="191"/>
      <c r="L331" s="221"/>
      <c r="M331" s="221"/>
      <c r="N331" s="221"/>
      <c r="O331" s="221"/>
      <c r="P331" s="221"/>
    </row>
    <row r="332" spans="1:16" ht="15">
      <c r="A332" s="217"/>
      <c r="B332" s="218"/>
      <c r="C332" s="221"/>
      <c r="D332" s="222"/>
      <c r="E332" s="223"/>
      <c r="F332" s="221"/>
      <c r="G332" s="221"/>
      <c r="H332" s="191"/>
      <c r="I332" s="191"/>
      <c r="J332" s="191"/>
      <c r="K332" s="191"/>
      <c r="L332" s="221"/>
      <c r="M332" s="221"/>
      <c r="N332" s="221"/>
      <c r="O332" s="221"/>
      <c r="P332" s="221"/>
    </row>
    <row r="333" spans="1:16" ht="15">
      <c r="A333" s="217"/>
      <c r="B333" s="218"/>
      <c r="C333" s="221"/>
      <c r="D333" s="222"/>
      <c r="E333" s="223"/>
      <c r="F333" s="221"/>
      <c r="G333" s="221"/>
      <c r="H333" s="191"/>
      <c r="I333" s="191"/>
      <c r="J333" s="191"/>
      <c r="K333" s="191"/>
      <c r="L333" s="221"/>
      <c r="M333" s="221"/>
      <c r="N333" s="221"/>
      <c r="O333" s="221"/>
      <c r="P333" s="221"/>
    </row>
    <row r="334" spans="1:16" ht="15">
      <c r="A334" s="217"/>
      <c r="B334" s="218"/>
      <c r="C334" s="221"/>
      <c r="D334" s="222"/>
      <c r="E334" s="223"/>
      <c r="F334" s="221"/>
      <c r="G334" s="221"/>
      <c r="H334" s="191"/>
      <c r="I334" s="191"/>
      <c r="J334" s="191"/>
      <c r="K334" s="191"/>
      <c r="L334" s="221"/>
      <c r="M334" s="221"/>
      <c r="N334" s="221"/>
      <c r="O334" s="221"/>
      <c r="P334" s="221"/>
    </row>
    <row r="335" spans="1:16" ht="15">
      <c r="A335" s="217"/>
      <c r="B335" s="218"/>
      <c r="C335" s="221"/>
      <c r="D335" s="222"/>
      <c r="E335" s="223"/>
      <c r="F335" s="221"/>
      <c r="G335" s="221"/>
      <c r="H335" s="191"/>
      <c r="I335" s="191"/>
      <c r="J335" s="191"/>
      <c r="K335" s="191"/>
      <c r="L335" s="221"/>
      <c r="M335" s="221"/>
      <c r="N335" s="221"/>
      <c r="O335" s="221"/>
      <c r="P335" s="221"/>
    </row>
    <row r="336" spans="1:16" ht="15">
      <c r="A336" s="217"/>
      <c r="B336" s="218"/>
      <c r="C336" s="221"/>
      <c r="D336" s="222"/>
      <c r="E336" s="223"/>
      <c r="F336" s="221"/>
      <c r="G336" s="221"/>
      <c r="H336" s="191"/>
      <c r="I336" s="191"/>
      <c r="J336" s="191"/>
      <c r="K336" s="191"/>
      <c r="L336" s="221"/>
      <c r="M336" s="221"/>
      <c r="N336" s="221"/>
      <c r="O336" s="221"/>
      <c r="P336" s="221"/>
    </row>
    <row r="337" spans="1:16" ht="15">
      <c r="A337" s="217"/>
      <c r="B337" s="218"/>
      <c r="C337" s="221"/>
      <c r="D337" s="222"/>
      <c r="E337" s="223"/>
      <c r="F337" s="221"/>
      <c r="G337" s="221"/>
      <c r="H337" s="191"/>
      <c r="I337" s="191"/>
      <c r="J337" s="191"/>
      <c r="K337" s="191"/>
      <c r="L337" s="221"/>
      <c r="M337" s="221"/>
      <c r="N337" s="221"/>
      <c r="O337" s="221"/>
      <c r="P337" s="221"/>
    </row>
    <row r="338" spans="1:16" ht="15">
      <c r="A338" s="217"/>
      <c r="B338" s="218"/>
      <c r="C338" s="221"/>
      <c r="D338" s="222"/>
      <c r="E338" s="223"/>
      <c r="F338" s="221"/>
      <c r="G338" s="221"/>
      <c r="H338" s="191"/>
      <c r="I338" s="191"/>
      <c r="J338" s="191"/>
      <c r="K338" s="191"/>
      <c r="L338" s="221"/>
      <c r="M338" s="221"/>
      <c r="N338" s="221"/>
      <c r="O338" s="221"/>
      <c r="P338" s="221"/>
    </row>
    <row r="339" spans="1:16" ht="15">
      <c r="A339" s="217"/>
      <c r="B339" s="218"/>
      <c r="C339" s="221"/>
      <c r="D339" s="222"/>
      <c r="E339" s="223"/>
      <c r="F339" s="221"/>
      <c r="G339" s="221"/>
      <c r="H339" s="191"/>
      <c r="I339" s="191"/>
      <c r="J339" s="191"/>
      <c r="K339" s="191"/>
      <c r="L339" s="221"/>
      <c r="M339" s="221"/>
      <c r="N339" s="221"/>
      <c r="O339" s="221"/>
      <c r="P339" s="221"/>
    </row>
    <row r="340" spans="1:16" ht="15">
      <c r="A340" s="217"/>
      <c r="B340" s="218"/>
      <c r="C340" s="221"/>
      <c r="D340" s="222"/>
      <c r="E340" s="223"/>
      <c r="F340" s="221"/>
      <c r="G340" s="221"/>
      <c r="H340" s="191"/>
      <c r="I340" s="191"/>
      <c r="J340" s="191"/>
      <c r="K340" s="191"/>
      <c r="L340" s="221"/>
      <c r="M340" s="221"/>
      <c r="N340" s="221"/>
      <c r="O340" s="221"/>
      <c r="P340" s="221"/>
    </row>
    <row r="341" spans="1:16" ht="15">
      <c r="A341" s="217"/>
      <c r="B341" s="218"/>
      <c r="C341" s="221"/>
      <c r="D341" s="222"/>
      <c r="E341" s="223"/>
      <c r="F341" s="221"/>
      <c r="G341" s="221"/>
      <c r="H341" s="191"/>
      <c r="I341" s="191"/>
      <c r="J341" s="191"/>
      <c r="K341" s="191"/>
      <c r="L341" s="221"/>
      <c r="M341" s="221"/>
      <c r="N341" s="221"/>
      <c r="O341" s="221"/>
      <c r="P341" s="221"/>
    </row>
    <row r="342" spans="1:16" ht="15">
      <c r="A342" s="217"/>
      <c r="B342" s="218"/>
      <c r="C342" s="221"/>
      <c r="D342" s="222"/>
      <c r="E342" s="223"/>
      <c r="F342" s="221"/>
      <c r="G342" s="221"/>
      <c r="H342" s="191"/>
      <c r="I342" s="191"/>
      <c r="J342" s="191"/>
      <c r="K342" s="191"/>
      <c r="L342" s="221"/>
      <c r="M342" s="221"/>
      <c r="N342" s="221"/>
      <c r="O342" s="221"/>
      <c r="P342" s="221"/>
    </row>
    <row r="343" spans="1:16" ht="15">
      <c r="A343" s="217"/>
      <c r="B343" s="218"/>
      <c r="C343" s="221"/>
      <c r="D343" s="222"/>
      <c r="E343" s="223"/>
      <c r="F343" s="221"/>
      <c r="G343" s="221"/>
      <c r="H343" s="191"/>
      <c r="I343" s="191"/>
      <c r="J343" s="191"/>
      <c r="K343" s="191"/>
      <c r="L343" s="221"/>
      <c r="M343" s="221"/>
      <c r="N343" s="221"/>
      <c r="O343" s="221"/>
      <c r="P343" s="221"/>
    </row>
    <row r="344" spans="1:16" ht="15">
      <c r="A344" s="217"/>
      <c r="B344" s="218"/>
      <c r="C344" s="221"/>
      <c r="D344" s="222"/>
      <c r="E344" s="223"/>
      <c r="F344" s="221"/>
      <c r="G344" s="221"/>
      <c r="H344" s="191"/>
      <c r="I344" s="191"/>
      <c r="J344" s="191"/>
      <c r="K344" s="191"/>
      <c r="L344" s="221"/>
      <c r="M344" s="221"/>
      <c r="N344" s="221"/>
      <c r="O344" s="221"/>
      <c r="P344" s="221"/>
    </row>
    <row r="345" spans="1:16" ht="15">
      <c r="A345" s="217"/>
      <c r="B345" s="218"/>
      <c r="C345" s="221"/>
      <c r="D345" s="222"/>
      <c r="E345" s="223"/>
      <c r="F345" s="221"/>
      <c r="G345" s="221"/>
      <c r="H345" s="191"/>
      <c r="I345" s="191"/>
      <c r="J345" s="191"/>
      <c r="K345" s="191"/>
      <c r="L345" s="221"/>
      <c r="M345" s="221"/>
      <c r="N345" s="221"/>
      <c r="O345" s="221"/>
      <c r="P345" s="221"/>
    </row>
    <row r="346" spans="1:16" ht="15">
      <c r="A346" s="217"/>
      <c r="B346" s="218"/>
      <c r="C346" s="221"/>
      <c r="D346" s="222"/>
      <c r="E346" s="223"/>
      <c r="F346" s="221"/>
      <c r="G346" s="221"/>
      <c r="H346" s="191"/>
      <c r="I346" s="191"/>
      <c r="J346" s="191"/>
      <c r="K346" s="191"/>
      <c r="L346" s="221"/>
      <c r="M346" s="221"/>
      <c r="N346" s="221"/>
      <c r="O346" s="221"/>
      <c r="P346" s="221"/>
    </row>
    <row r="347" spans="1:16" ht="15">
      <c r="A347" s="217"/>
      <c r="B347" s="218"/>
      <c r="C347" s="221"/>
      <c r="D347" s="222"/>
      <c r="E347" s="223"/>
      <c r="F347" s="221"/>
      <c r="G347" s="221"/>
      <c r="H347" s="191"/>
      <c r="I347" s="191"/>
      <c r="J347" s="191"/>
      <c r="K347" s="191"/>
      <c r="L347" s="221"/>
      <c r="M347" s="221"/>
      <c r="N347" s="221"/>
      <c r="O347" s="221"/>
      <c r="P347" s="221"/>
    </row>
    <row r="348" spans="1:16" ht="15">
      <c r="A348" s="217"/>
      <c r="B348" s="218"/>
      <c r="C348" s="221"/>
      <c r="D348" s="222"/>
      <c r="E348" s="223"/>
      <c r="F348" s="221"/>
      <c r="G348" s="221"/>
      <c r="H348" s="191"/>
      <c r="I348" s="191"/>
      <c r="J348" s="191"/>
      <c r="K348" s="191"/>
      <c r="L348" s="221"/>
      <c r="M348" s="221"/>
      <c r="N348" s="221"/>
      <c r="O348" s="221"/>
      <c r="P348" s="221"/>
    </row>
    <row r="349" spans="1:16" ht="15">
      <c r="A349" s="217"/>
      <c r="B349" s="218"/>
      <c r="C349" s="221"/>
      <c r="D349" s="222"/>
      <c r="E349" s="223"/>
      <c r="F349" s="221"/>
      <c r="G349" s="221"/>
      <c r="H349" s="191"/>
      <c r="I349" s="191"/>
      <c r="J349" s="191"/>
      <c r="K349" s="191"/>
      <c r="L349" s="221"/>
      <c r="M349" s="221"/>
      <c r="N349" s="221"/>
      <c r="O349" s="221"/>
      <c r="P349" s="221"/>
    </row>
    <row r="350" spans="1:16" ht="15">
      <c r="A350" s="217"/>
      <c r="B350" s="218"/>
      <c r="C350" s="221"/>
      <c r="D350" s="222"/>
      <c r="E350" s="223"/>
      <c r="F350" s="221"/>
      <c r="G350" s="221"/>
      <c r="H350" s="191"/>
      <c r="I350" s="191"/>
      <c r="J350" s="191"/>
      <c r="K350" s="191"/>
      <c r="L350" s="221"/>
      <c r="M350" s="221"/>
      <c r="N350" s="221"/>
      <c r="O350" s="221"/>
      <c r="P350" s="221"/>
    </row>
    <row r="351" spans="1:16" ht="15">
      <c r="A351" s="217"/>
      <c r="B351" s="218"/>
      <c r="C351" s="221"/>
      <c r="D351" s="222"/>
      <c r="E351" s="223"/>
      <c r="F351" s="221"/>
      <c r="G351" s="221"/>
      <c r="H351" s="191"/>
      <c r="I351" s="191"/>
      <c r="J351" s="191"/>
      <c r="K351" s="191"/>
      <c r="L351" s="221"/>
      <c r="M351" s="221"/>
      <c r="N351" s="221"/>
      <c r="O351" s="221"/>
      <c r="P351" s="221"/>
    </row>
    <row r="352" spans="1:16" ht="15">
      <c r="A352" s="217"/>
      <c r="B352" s="218"/>
      <c r="C352" s="221"/>
      <c r="D352" s="222"/>
      <c r="E352" s="223"/>
      <c r="F352" s="221"/>
      <c r="G352" s="221"/>
      <c r="H352" s="191"/>
      <c r="I352" s="191"/>
      <c r="J352" s="191"/>
      <c r="K352" s="191"/>
      <c r="L352" s="221"/>
      <c r="M352" s="221"/>
      <c r="N352" s="221"/>
      <c r="O352" s="221"/>
      <c r="P352" s="221"/>
    </row>
    <row r="353" spans="1:16" ht="15">
      <c r="A353" s="217"/>
      <c r="B353" s="218"/>
      <c r="C353" s="221"/>
      <c r="D353" s="222"/>
      <c r="E353" s="223"/>
      <c r="F353" s="221"/>
      <c r="G353" s="221"/>
      <c r="H353" s="191"/>
      <c r="I353" s="191"/>
      <c r="J353" s="191"/>
      <c r="K353" s="191"/>
      <c r="L353" s="221"/>
      <c r="M353" s="221"/>
      <c r="N353" s="221"/>
      <c r="O353" s="221"/>
      <c r="P353" s="221"/>
    </row>
    <row r="354" spans="1:16" ht="15">
      <c r="A354" s="217"/>
      <c r="B354" s="218"/>
      <c r="C354" s="221"/>
      <c r="D354" s="222"/>
      <c r="E354" s="223"/>
      <c r="F354" s="221"/>
      <c r="G354" s="221"/>
      <c r="H354" s="191"/>
      <c r="I354" s="191"/>
      <c r="J354" s="191"/>
      <c r="K354" s="191"/>
      <c r="L354" s="221"/>
      <c r="M354" s="221"/>
      <c r="N354" s="221"/>
      <c r="O354" s="221"/>
      <c r="P354" s="221"/>
    </row>
    <row r="355" spans="1:16" ht="15">
      <c r="A355" s="217"/>
      <c r="B355" s="218"/>
      <c r="C355" s="221"/>
      <c r="D355" s="222"/>
      <c r="E355" s="223"/>
      <c r="F355" s="221"/>
      <c r="G355" s="221"/>
      <c r="H355" s="191"/>
      <c r="I355" s="191"/>
      <c r="J355" s="191"/>
      <c r="K355" s="191"/>
      <c r="L355" s="221"/>
      <c r="M355" s="221"/>
      <c r="N355" s="221"/>
      <c r="O355" s="221"/>
      <c r="P355" s="221"/>
    </row>
    <row r="356" spans="1:16" ht="15">
      <c r="A356" s="217"/>
      <c r="B356" s="218"/>
      <c r="C356" s="221"/>
      <c r="D356" s="222"/>
      <c r="E356" s="223"/>
      <c r="F356" s="221"/>
      <c r="G356" s="221"/>
      <c r="H356" s="191"/>
      <c r="I356" s="191"/>
      <c r="J356" s="191"/>
      <c r="K356" s="191"/>
      <c r="L356" s="221"/>
      <c r="M356" s="221"/>
      <c r="N356" s="221"/>
      <c r="O356" s="221"/>
      <c r="P356" s="221"/>
    </row>
    <row r="357" spans="1:16" ht="15">
      <c r="A357" s="217"/>
      <c r="B357" s="218"/>
      <c r="C357" s="221"/>
      <c r="D357" s="222"/>
      <c r="E357" s="223"/>
      <c r="F357" s="221"/>
      <c r="G357" s="221"/>
      <c r="H357" s="191"/>
      <c r="I357" s="191"/>
      <c r="J357" s="191"/>
      <c r="K357" s="191"/>
      <c r="L357" s="221"/>
      <c r="M357" s="221"/>
      <c r="N357" s="221"/>
      <c r="O357" s="221"/>
      <c r="P357" s="221"/>
    </row>
    <row r="358" spans="1:16" ht="15">
      <c r="A358" s="217"/>
      <c r="B358" s="218"/>
      <c r="C358" s="221"/>
      <c r="D358" s="222"/>
      <c r="E358" s="223"/>
      <c r="F358" s="221"/>
      <c r="G358" s="221"/>
      <c r="H358" s="191"/>
      <c r="I358" s="191"/>
      <c r="J358" s="191"/>
      <c r="K358" s="191"/>
      <c r="L358" s="221"/>
      <c r="M358" s="221"/>
      <c r="N358" s="221"/>
      <c r="O358" s="221"/>
      <c r="P358" s="221"/>
    </row>
    <row r="359" spans="1:16" ht="15">
      <c r="A359" s="217"/>
      <c r="B359" s="218"/>
      <c r="C359" s="221"/>
      <c r="D359" s="222"/>
      <c r="E359" s="223"/>
      <c r="F359" s="221"/>
      <c r="G359" s="221"/>
      <c r="H359" s="191"/>
      <c r="I359" s="191"/>
      <c r="J359" s="191"/>
      <c r="K359" s="191"/>
      <c r="L359" s="221"/>
      <c r="M359" s="221"/>
      <c r="N359" s="221"/>
      <c r="O359" s="221"/>
      <c r="P359" s="221"/>
    </row>
    <row r="360" spans="1:16" ht="15">
      <c r="A360" s="217"/>
      <c r="B360" s="218"/>
      <c r="C360" s="221"/>
      <c r="D360" s="222"/>
      <c r="E360" s="223"/>
      <c r="F360" s="221"/>
      <c r="G360" s="221"/>
      <c r="H360" s="191"/>
      <c r="I360" s="191"/>
      <c r="J360" s="191"/>
      <c r="K360" s="191"/>
      <c r="L360" s="221"/>
      <c r="M360" s="221"/>
      <c r="N360" s="221"/>
      <c r="O360" s="221"/>
      <c r="P360" s="221"/>
    </row>
    <row r="361" spans="1:16" ht="15">
      <c r="A361" s="217"/>
      <c r="B361" s="218"/>
      <c r="C361" s="221"/>
      <c r="D361" s="222"/>
      <c r="E361" s="223"/>
      <c r="F361" s="221"/>
      <c r="G361" s="221"/>
      <c r="H361" s="191"/>
      <c r="I361" s="191"/>
      <c r="J361" s="191"/>
      <c r="K361" s="191"/>
      <c r="L361" s="221"/>
      <c r="M361" s="221"/>
      <c r="N361" s="221"/>
      <c r="O361" s="221"/>
      <c r="P361" s="221"/>
    </row>
    <row r="362" spans="1:16" ht="15">
      <c r="A362" s="217"/>
      <c r="B362" s="218"/>
      <c r="C362" s="221"/>
      <c r="D362" s="222"/>
      <c r="E362" s="223"/>
      <c r="F362" s="221"/>
      <c r="G362" s="221"/>
      <c r="H362" s="191"/>
      <c r="I362" s="191"/>
      <c r="J362" s="191"/>
      <c r="K362" s="191"/>
      <c r="L362" s="221"/>
      <c r="M362" s="221"/>
      <c r="N362" s="221"/>
      <c r="O362" s="221"/>
      <c r="P362" s="221"/>
    </row>
    <row r="363" spans="1:16" ht="15">
      <c r="A363" s="217"/>
      <c r="B363" s="218"/>
      <c r="C363" s="221"/>
      <c r="D363" s="222"/>
      <c r="E363" s="223"/>
      <c r="F363" s="221"/>
      <c r="G363" s="221"/>
      <c r="H363" s="191"/>
      <c r="I363" s="191"/>
      <c r="J363" s="191"/>
      <c r="K363" s="191"/>
      <c r="L363" s="221"/>
      <c r="M363" s="221"/>
      <c r="N363" s="221"/>
      <c r="O363" s="221"/>
      <c r="P363" s="221"/>
    </row>
    <row r="364" spans="1:16" ht="15">
      <c r="A364" s="217"/>
      <c r="B364" s="218"/>
      <c r="C364" s="221"/>
      <c r="D364" s="222"/>
      <c r="E364" s="223"/>
      <c r="F364" s="221"/>
      <c r="G364" s="221"/>
      <c r="H364" s="191"/>
      <c r="I364" s="191"/>
      <c r="J364" s="191"/>
      <c r="K364" s="191"/>
      <c r="L364" s="221"/>
      <c r="M364" s="221"/>
      <c r="N364" s="221"/>
      <c r="O364" s="221"/>
      <c r="P364" s="221"/>
    </row>
    <row r="365" spans="1:16" ht="15">
      <c r="A365" s="217"/>
      <c r="B365" s="218"/>
      <c r="C365" s="221"/>
      <c r="D365" s="222"/>
      <c r="E365" s="223"/>
      <c r="F365" s="221"/>
      <c r="G365" s="221"/>
      <c r="H365" s="191"/>
      <c r="I365" s="191"/>
      <c r="J365" s="191"/>
      <c r="K365" s="191"/>
      <c r="L365" s="221"/>
      <c r="M365" s="221"/>
      <c r="N365" s="221"/>
      <c r="O365" s="221"/>
      <c r="P365" s="221"/>
    </row>
    <row r="366" spans="1:16" ht="15">
      <c r="A366" s="217"/>
      <c r="B366" s="218"/>
      <c r="C366" s="221"/>
      <c r="D366" s="222"/>
      <c r="E366" s="223"/>
      <c r="F366" s="221"/>
      <c r="G366" s="221"/>
      <c r="H366" s="191"/>
      <c r="I366" s="191"/>
      <c r="J366" s="191"/>
      <c r="K366" s="191"/>
      <c r="L366" s="221"/>
      <c r="M366" s="221"/>
      <c r="N366" s="221"/>
      <c r="O366" s="221"/>
      <c r="P366" s="221"/>
    </row>
    <row r="367" spans="1:16" ht="15">
      <c r="A367" s="217"/>
      <c r="B367" s="218"/>
      <c r="C367" s="221"/>
      <c r="D367" s="222"/>
      <c r="E367" s="223"/>
      <c r="F367" s="221"/>
      <c r="G367" s="221"/>
      <c r="H367" s="191"/>
      <c r="I367" s="191"/>
      <c r="J367" s="191"/>
      <c r="K367" s="191"/>
      <c r="L367" s="221"/>
      <c r="M367" s="221"/>
      <c r="N367" s="221"/>
      <c r="O367" s="221"/>
      <c r="P367" s="221"/>
    </row>
    <row r="368" spans="1:16" ht="15">
      <c r="A368" s="217"/>
      <c r="B368" s="218"/>
      <c r="C368" s="221"/>
      <c r="D368" s="222"/>
      <c r="E368" s="223"/>
      <c r="F368" s="221"/>
      <c r="G368" s="221"/>
      <c r="H368" s="191"/>
      <c r="I368" s="191"/>
      <c r="J368" s="191"/>
      <c r="K368" s="191"/>
      <c r="L368" s="221"/>
      <c r="M368" s="221"/>
      <c r="N368" s="221"/>
      <c r="O368" s="221"/>
      <c r="P368" s="221"/>
    </row>
    <row r="369" spans="1:16" ht="15">
      <c r="A369" s="217"/>
      <c r="B369" s="218"/>
      <c r="C369" s="221"/>
      <c r="D369" s="222"/>
      <c r="E369" s="223"/>
      <c r="F369" s="221"/>
      <c r="G369" s="221"/>
      <c r="H369" s="191"/>
      <c r="I369" s="191"/>
      <c r="J369" s="191"/>
      <c r="K369" s="191"/>
      <c r="L369" s="221"/>
      <c r="M369" s="221"/>
      <c r="N369" s="221"/>
      <c r="O369" s="221"/>
      <c r="P369" s="221"/>
    </row>
    <row r="370" spans="1:16" ht="15">
      <c r="A370" s="217"/>
      <c r="B370" s="218"/>
      <c r="C370" s="221"/>
      <c r="D370" s="222"/>
      <c r="E370" s="223"/>
      <c r="F370" s="221"/>
      <c r="G370" s="221"/>
      <c r="H370" s="191"/>
      <c r="I370" s="191"/>
      <c r="J370" s="191"/>
      <c r="K370" s="191"/>
      <c r="L370" s="221"/>
      <c r="M370" s="221"/>
      <c r="N370" s="221"/>
      <c r="O370" s="221"/>
      <c r="P370" s="221"/>
    </row>
    <row r="371" spans="1:16" ht="15">
      <c r="A371" s="217"/>
      <c r="B371" s="218"/>
      <c r="C371" s="221"/>
      <c r="D371" s="222"/>
      <c r="E371" s="223"/>
      <c r="F371" s="221"/>
      <c r="G371" s="221"/>
      <c r="H371" s="191"/>
      <c r="I371" s="191"/>
      <c r="J371" s="191"/>
      <c r="K371" s="191"/>
      <c r="L371" s="221"/>
      <c r="M371" s="221"/>
      <c r="N371" s="221"/>
      <c r="O371" s="221"/>
      <c r="P371" s="221"/>
    </row>
    <row r="372" spans="1:16" ht="15">
      <c r="A372" s="217"/>
      <c r="B372" s="218"/>
      <c r="C372" s="221"/>
      <c r="D372" s="222"/>
      <c r="E372" s="223"/>
      <c r="F372" s="221"/>
      <c r="G372" s="221"/>
      <c r="H372" s="191"/>
      <c r="I372" s="191"/>
      <c r="J372" s="191"/>
      <c r="K372" s="191"/>
      <c r="L372" s="221"/>
      <c r="M372" s="221"/>
      <c r="N372" s="221"/>
      <c r="O372" s="221"/>
      <c r="P372" s="221"/>
    </row>
    <row r="373" spans="1:16" ht="15">
      <c r="A373" s="217"/>
      <c r="B373" s="218"/>
      <c r="C373" s="221"/>
      <c r="D373" s="222"/>
      <c r="E373" s="223"/>
      <c r="F373" s="221"/>
      <c r="G373" s="221"/>
      <c r="H373" s="191"/>
      <c r="I373" s="191"/>
      <c r="J373" s="191"/>
      <c r="K373" s="191"/>
      <c r="L373" s="221"/>
      <c r="M373" s="221"/>
      <c r="N373" s="221"/>
      <c r="O373" s="221"/>
      <c r="P373" s="221"/>
    </row>
    <row r="374" spans="1:16" ht="15">
      <c r="A374" s="217"/>
      <c r="B374" s="218"/>
      <c r="C374" s="221"/>
      <c r="D374" s="222"/>
      <c r="E374" s="223"/>
      <c r="F374" s="221"/>
      <c r="G374" s="221"/>
      <c r="H374" s="191"/>
      <c r="I374" s="191"/>
      <c r="J374" s="191"/>
      <c r="K374" s="191"/>
      <c r="L374" s="221"/>
      <c r="M374" s="221"/>
      <c r="N374" s="221"/>
      <c r="O374" s="221"/>
      <c r="P374" s="221"/>
    </row>
    <row r="375" spans="1:16" ht="15">
      <c r="A375" s="217"/>
      <c r="B375" s="218"/>
      <c r="C375" s="221"/>
      <c r="D375" s="222"/>
      <c r="E375" s="223"/>
      <c r="F375" s="221"/>
      <c r="G375" s="221"/>
      <c r="H375" s="191"/>
      <c r="I375" s="191"/>
      <c r="J375" s="191"/>
      <c r="K375" s="191"/>
      <c r="L375" s="221"/>
      <c r="M375" s="221"/>
      <c r="N375" s="221"/>
      <c r="O375" s="221"/>
      <c r="P375" s="221"/>
    </row>
    <row r="376" spans="1:16" ht="15">
      <c r="A376" s="217"/>
      <c r="B376" s="218"/>
      <c r="C376" s="221"/>
      <c r="D376" s="222"/>
      <c r="E376" s="223"/>
      <c r="F376" s="221"/>
      <c r="G376" s="221"/>
      <c r="H376" s="191"/>
      <c r="I376" s="191"/>
      <c r="J376" s="191"/>
      <c r="K376" s="191"/>
      <c r="L376" s="221"/>
      <c r="M376" s="221"/>
      <c r="N376" s="221"/>
      <c r="O376" s="221"/>
      <c r="P376" s="221"/>
    </row>
    <row r="377" spans="1:16" ht="15">
      <c r="A377" s="217"/>
      <c r="B377" s="218"/>
      <c r="C377" s="221"/>
      <c r="D377" s="222"/>
      <c r="E377" s="223"/>
      <c r="F377" s="221"/>
      <c r="G377" s="221"/>
      <c r="H377" s="191"/>
      <c r="I377" s="191"/>
      <c r="J377" s="191"/>
      <c r="K377" s="191"/>
      <c r="L377" s="221"/>
      <c r="M377" s="221"/>
      <c r="N377" s="221"/>
      <c r="O377" s="221"/>
      <c r="P377" s="221"/>
    </row>
    <row r="378" spans="1:16" ht="15">
      <c r="A378" s="217"/>
      <c r="B378" s="218"/>
      <c r="C378" s="221"/>
      <c r="D378" s="222"/>
      <c r="E378" s="223"/>
      <c r="F378" s="221"/>
      <c r="G378" s="221"/>
      <c r="H378" s="191"/>
      <c r="I378" s="191"/>
      <c r="J378" s="191"/>
      <c r="K378" s="191"/>
      <c r="L378" s="221"/>
      <c r="M378" s="221"/>
      <c r="N378" s="221"/>
      <c r="O378" s="221"/>
      <c r="P378" s="221"/>
    </row>
    <row r="379" spans="1:16" ht="15">
      <c r="A379" s="217"/>
      <c r="B379" s="218"/>
      <c r="C379" s="221"/>
      <c r="D379" s="222"/>
      <c r="E379" s="223"/>
      <c r="F379" s="221"/>
      <c r="G379" s="221"/>
      <c r="H379" s="191"/>
      <c r="I379" s="191"/>
      <c r="J379" s="191"/>
      <c r="K379" s="191"/>
      <c r="L379" s="221"/>
      <c r="M379" s="221"/>
      <c r="N379" s="221"/>
      <c r="O379" s="221"/>
      <c r="P379" s="221"/>
    </row>
    <row r="380" spans="1:16" ht="15">
      <c r="A380" s="217"/>
      <c r="B380" s="218"/>
      <c r="C380" s="221"/>
      <c r="D380" s="222"/>
      <c r="E380" s="223"/>
      <c r="F380" s="221"/>
      <c r="G380" s="221"/>
      <c r="H380" s="191"/>
      <c r="I380" s="191"/>
      <c r="J380" s="191"/>
      <c r="K380" s="191"/>
      <c r="L380" s="221"/>
      <c r="M380" s="221"/>
      <c r="N380" s="221"/>
      <c r="O380" s="221"/>
      <c r="P380" s="221"/>
    </row>
    <row r="381" spans="1:16" ht="15">
      <c r="A381" s="217"/>
      <c r="B381" s="218"/>
      <c r="C381" s="221"/>
      <c r="D381" s="222"/>
      <c r="E381" s="223"/>
      <c r="F381" s="221"/>
      <c r="G381" s="221"/>
      <c r="H381" s="191"/>
      <c r="I381" s="191"/>
      <c r="J381" s="191"/>
      <c r="K381" s="191"/>
      <c r="L381" s="221"/>
      <c r="M381" s="221"/>
      <c r="N381" s="221"/>
      <c r="O381" s="221"/>
      <c r="P381" s="221"/>
    </row>
    <row r="382" spans="1:16" ht="15">
      <c r="A382" s="217"/>
      <c r="B382" s="218"/>
      <c r="C382" s="221"/>
      <c r="D382" s="222"/>
      <c r="E382" s="223"/>
      <c r="F382" s="221"/>
      <c r="G382" s="221"/>
      <c r="H382" s="191"/>
      <c r="I382" s="191"/>
      <c r="J382" s="191"/>
      <c r="K382" s="191"/>
      <c r="L382" s="221"/>
      <c r="M382" s="221"/>
      <c r="N382" s="221"/>
      <c r="O382" s="221"/>
      <c r="P382" s="221"/>
    </row>
    <row r="383" spans="1:16" ht="15">
      <c r="A383" s="217"/>
      <c r="B383" s="218"/>
      <c r="C383" s="221"/>
      <c r="D383" s="222"/>
      <c r="E383" s="223"/>
      <c r="F383" s="221"/>
      <c r="G383" s="221"/>
      <c r="H383" s="191"/>
      <c r="I383" s="191"/>
      <c r="J383" s="191"/>
      <c r="K383" s="191"/>
      <c r="L383" s="221"/>
      <c r="M383" s="221"/>
      <c r="N383" s="221"/>
      <c r="O383" s="221"/>
      <c r="P383" s="221"/>
    </row>
    <row r="384" spans="1:16" ht="15">
      <c r="A384" s="217"/>
      <c r="B384" s="218"/>
      <c r="C384" s="221"/>
      <c r="D384" s="222"/>
      <c r="E384" s="223"/>
      <c r="F384" s="221"/>
      <c r="G384" s="221"/>
      <c r="H384" s="191"/>
      <c r="I384" s="191"/>
      <c r="J384" s="191"/>
      <c r="K384" s="191"/>
      <c r="L384" s="221"/>
      <c r="M384" s="221"/>
      <c r="N384" s="221"/>
      <c r="O384" s="221"/>
      <c r="P384" s="221"/>
    </row>
    <row r="385" spans="1:16" ht="15">
      <c r="A385" s="217"/>
      <c r="B385" s="218"/>
      <c r="C385" s="221"/>
      <c r="D385" s="222"/>
      <c r="E385" s="223"/>
      <c r="F385" s="221"/>
      <c r="G385" s="221"/>
      <c r="H385" s="191"/>
      <c r="I385" s="191"/>
      <c r="J385" s="191"/>
      <c r="K385" s="191"/>
      <c r="L385" s="221"/>
      <c r="M385" s="221"/>
      <c r="N385" s="221"/>
      <c r="O385" s="221"/>
      <c r="P385" s="221"/>
    </row>
    <row r="386" spans="1:16" ht="15">
      <c r="A386" s="217"/>
      <c r="B386" s="218"/>
      <c r="C386" s="221"/>
      <c r="D386" s="222"/>
      <c r="E386" s="223"/>
      <c r="F386" s="221"/>
      <c r="G386" s="221"/>
      <c r="H386" s="191"/>
      <c r="I386" s="191"/>
      <c r="J386" s="191"/>
      <c r="K386" s="191"/>
      <c r="L386" s="221"/>
      <c r="M386" s="221"/>
      <c r="N386" s="221"/>
      <c r="O386" s="221"/>
      <c r="P386" s="221"/>
    </row>
    <row r="387" spans="1:16" ht="15">
      <c r="A387" s="217"/>
      <c r="B387" s="218"/>
      <c r="C387" s="221"/>
      <c r="D387" s="222"/>
      <c r="E387" s="223"/>
      <c r="F387" s="221"/>
      <c r="G387" s="221"/>
      <c r="H387" s="191"/>
      <c r="I387" s="191"/>
      <c r="J387" s="191"/>
      <c r="K387" s="191"/>
      <c r="L387" s="221"/>
      <c r="M387" s="221"/>
      <c r="N387" s="221"/>
      <c r="O387" s="221"/>
      <c r="P387" s="221"/>
    </row>
    <row r="388" spans="1:16" ht="15">
      <c r="A388" s="217"/>
      <c r="B388" s="218"/>
      <c r="C388" s="221"/>
      <c r="D388" s="222"/>
      <c r="E388" s="223"/>
      <c r="F388" s="221"/>
      <c r="G388" s="221"/>
      <c r="H388" s="191"/>
      <c r="I388" s="191"/>
      <c r="J388" s="191"/>
      <c r="K388" s="191"/>
      <c r="L388" s="221"/>
      <c r="M388" s="221"/>
      <c r="N388" s="221"/>
      <c r="O388" s="221"/>
      <c r="P388" s="221"/>
    </row>
    <row r="389" spans="1:16" ht="15">
      <c r="A389" s="217"/>
      <c r="B389" s="218"/>
      <c r="C389" s="221"/>
      <c r="D389" s="222"/>
      <c r="E389" s="223"/>
      <c r="F389" s="221"/>
      <c r="G389" s="221"/>
      <c r="H389" s="191"/>
      <c r="I389" s="191"/>
      <c r="J389" s="191"/>
      <c r="K389" s="191"/>
      <c r="L389" s="221"/>
      <c r="M389" s="221"/>
      <c r="N389" s="221"/>
      <c r="O389" s="221"/>
      <c r="P389" s="221"/>
    </row>
    <row r="390" spans="1:16" ht="15">
      <c r="A390" s="217"/>
      <c r="B390" s="218"/>
      <c r="C390" s="221"/>
      <c r="D390" s="222"/>
      <c r="E390" s="223"/>
      <c r="F390" s="221"/>
      <c r="G390" s="221"/>
      <c r="H390" s="191"/>
      <c r="I390" s="191"/>
      <c r="J390" s="191"/>
      <c r="K390" s="191"/>
      <c r="L390" s="221"/>
      <c r="M390" s="221"/>
      <c r="N390" s="221"/>
      <c r="O390" s="221"/>
      <c r="P390" s="221"/>
    </row>
    <row r="391" spans="1:16" ht="15">
      <c r="A391" s="217"/>
      <c r="B391" s="218"/>
      <c r="C391" s="221"/>
      <c r="D391" s="222"/>
      <c r="E391" s="223"/>
      <c r="F391" s="221"/>
      <c r="G391" s="221"/>
      <c r="H391" s="191"/>
      <c r="I391" s="191"/>
      <c r="J391" s="191"/>
      <c r="K391" s="191"/>
      <c r="L391" s="221"/>
      <c r="M391" s="221"/>
      <c r="N391" s="221"/>
      <c r="O391" s="221"/>
      <c r="P391" s="221"/>
    </row>
    <row r="392" spans="1:16" ht="15">
      <c r="A392" s="217"/>
      <c r="B392" s="218"/>
      <c r="C392" s="221"/>
      <c r="D392" s="222"/>
      <c r="E392" s="223"/>
      <c r="F392" s="221"/>
      <c r="G392" s="221"/>
      <c r="H392" s="191"/>
      <c r="I392" s="191"/>
      <c r="J392" s="191"/>
      <c r="K392" s="191"/>
      <c r="L392" s="221"/>
      <c r="M392" s="221"/>
      <c r="N392" s="221"/>
      <c r="O392" s="221"/>
      <c r="P392" s="221"/>
    </row>
    <row r="393" spans="1:16" ht="15">
      <c r="A393" s="217"/>
      <c r="B393" s="218"/>
      <c r="C393" s="221"/>
      <c r="D393" s="222"/>
      <c r="E393" s="223"/>
      <c r="F393" s="221"/>
      <c r="G393" s="221"/>
      <c r="H393" s="191"/>
      <c r="I393" s="191"/>
      <c r="J393" s="191"/>
      <c r="K393" s="191"/>
      <c r="L393" s="221"/>
      <c r="M393" s="221"/>
      <c r="N393" s="221"/>
      <c r="O393" s="221"/>
      <c r="P393" s="221"/>
    </row>
    <row r="394" spans="1:16" ht="15">
      <c r="A394" s="217"/>
      <c r="B394" s="218"/>
      <c r="C394" s="221"/>
      <c r="D394" s="222"/>
      <c r="E394" s="223"/>
      <c r="F394" s="221"/>
      <c r="G394" s="221"/>
      <c r="H394" s="191"/>
      <c r="I394" s="191"/>
      <c r="J394" s="191"/>
      <c r="K394" s="191"/>
      <c r="L394" s="221"/>
      <c r="M394" s="221"/>
      <c r="N394" s="221"/>
      <c r="O394" s="221"/>
      <c r="P394" s="221"/>
    </row>
    <row r="395" spans="1:16" ht="15">
      <c r="A395" s="217"/>
      <c r="B395" s="218"/>
      <c r="C395" s="221"/>
      <c r="D395" s="222"/>
      <c r="E395" s="223"/>
      <c r="F395" s="221"/>
      <c r="G395" s="221"/>
      <c r="H395" s="191"/>
      <c r="I395" s="191"/>
      <c r="J395" s="191"/>
      <c r="K395" s="191"/>
      <c r="L395" s="221"/>
      <c r="M395" s="221"/>
      <c r="N395" s="221"/>
      <c r="O395" s="221"/>
      <c r="P395" s="221"/>
    </row>
    <row r="396" spans="1:16" ht="15">
      <c r="A396" s="217"/>
      <c r="B396" s="218"/>
      <c r="C396" s="221"/>
      <c r="D396" s="222"/>
      <c r="E396" s="223"/>
      <c r="F396" s="221"/>
      <c r="G396" s="221"/>
      <c r="H396" s="191"/>
      <c r="I396" s="191"/>
      <c r="J396" s="191"/>
      <c r="K396" s="191"/>
      <c r="L396" s="221"/>
      <c r="M396" s="221"/>
      <c r="N396" s="221"/>
      <c r="O396" s="221"/>
      <c r="P396" s="221"/>
    </row>
    <row r="397" spans="1:16" ht="15">
      <c r="A397" s="217"/>
      <c r="B397" s="218"/>
      <c r="C397" s="221"/>
      <c r="D397" s="222"/>
      <c r="E397" s="223"/>
      <c r="F397" s="221"/>
      <c r="G397" s="221"/>
      <c r="H397" s="191"/>
      <c r="I397" s="191"/>
      <c r="J397" s="191"/>
      <c r="K397" s="191"/>
      <c r="L397" s="221"/>
      <c r="M397" s="221"/>
      <c r="N397" s="221"/>
      <c r="O397" s="221"/>
      <c r="P397" s="221"/>
    </row>
    <row r="398" spans="1:16" ht="15">
      <c r="A398" s="217"/>
      <c r="B398" s="218"/>
      <c r="C398" s="221"/>
      <c r="D398" s="222"/>
      <c r="E398" s="223"/>
      <c r="F398" s="221"/>
      <c r="G398" s="221"/>
      <c r="H398" s="191"/>
      <c r="I398" s="191"/>
      <c r="J398" s="191"/>
      <c r="K398" s="191"/>
      <c r="L398" s="221"/>
      <c r="M398" s="221"/>
      <c r="N398" s="221"/>
      <c r="O398" s="221"/>
      <c r="P398" s="221"/>
    </row>
    <row r="399" spans="1:16" ht="15">
      <c r="A399" s="217"/>
      <c r="B399" s="218"/>
      <c r="C399" s="221"/>
      <c r="D399" s="222"/>
      <c r="E399" s="223"/>
      <c r="F399" s="221"/>
      <c r="G399" s="221"/>
      <c r="H399" s="191"/>
      <c r="I399" s="191"/>
      <c r="J399" s="191"/>
      <c r="K399" s="191"/>
      <c r="L399" s="221"/>
      <c r="M399" s="221"/>
      <c r="N399" s="221"/>
      <c r="O399" s="221"/>
      <c r="P399" s="221"/>
    </row>
    <row r="400" spans="1:16" ht="15">
      <c r="A400" s="217"/>
      <c r="B400" s="218"/>
      <c r="C400" s="221"/>
      <c r="D400" s="222"/>
      <c r="E400" s="223"/>
      <c r="F400" s="221"/>
      <c r="G400" s="221"/>
      <c r="H400" s="191"/>
      <c r="I400" s="191"/>
      <c r="J400" s="191"/>
      <c r="K400" s="191"/>
      <c r="L400" s="221"/>
      <c r="M400" s="221"/>
      <c r="N400" s="221"/>
      <c r="O400" s="221"/>
      <c r="P400" s="221"/>
    </row>
    <row r="401" spans="1:16" ht="15">
      <c r="A401" s="217"/>
      <c r="B401" s="218"/>
      <c r="C401" s="221"/>
      <c r="D401" s="222"/>
      <c r="E401" s="223"/>
      <c r="F401" s="221"/>
      <c r="G401" s="221"/>
      <c r="H401" s="191"/>
      <c r="I401" s="191"/>
      <c r="J401" s="191"/>
      <c r="K401" s="191"/>
      <c r="L401" s="221"/>
      <c r="M401" s="221"/>
      <c r="N401" s="221"/>
      <c r="O401" s="221"/>
      <c r="P401" s="221"/>
    </row>
    <row r="402" spans="1:16" ht="15">
      <c r="A402" s="217"/>
      <c r="B402" s="218"/>
      <c r="C402" s="221"/>
      <c r="D402" s="222"/>
      <c r="E402" s="223"/>
      <c r="F402" s="221"/>
      <c r="G402" s="221"/>
      <c r="H402" s="191"/>
      <c r="I402" s="191"/>
      <c r="J402" s="191"/>
      <c r="K402" s="191"/>
      <c r="L402" s="221"/>
      <c r="M402" s="221"/>
      <c r="N402" s="221"/>
      <c r="O402" s="221"/>
      <c r="P402" s="221"/>
    </row>
    <row r="403" spans="1:16" ht="15">
      <c r="A403" s="217"/>
      <c r="B403" s="218"/>
      <c r="C403" s="221"/>
      <c r="D403" s="222"/>
      <c r="E403" s="223"/>
      <c r="F403" s="221"/>
      <c r="G403" s="221"/>
      <c r="H403" s="191"/>
      <c r="I403" s="191"/>
      <c r="J403" s="191"/>
      <c r="K403" s="191"/>
      <c r="L403" s="221"/>
      <c r="M403" s="221"/>
      <c r="N403" s="221"/>
      <c r="O403" s="221"/>
      <c r="P403" s="221"/>
    </row>
    <row r="404" spans="1:16" ht="15">
      <c r="A404" s="217"/>
      <c r="B404" s="218"/>
      <c r="C404" s="221"/>
      <c r="D404" s="222"/>
      <c r="E404" s="223"/>
      <c r="F404" s="221"/>
      <c r="G404" s="221"/>
      <c r="H404" s="191"/>
      <c r="I404" s="191"/>
      <c r="J404" s="191"/>
      <c r="K404" s="191"/>
      <c r="L404" s="221"/>
      <c r="M404" s="221"/>
      <c r="N404" s="221"/>
      <c r="O404" s="221"/>
      <c r="P404" s="221"/>
    </row>
    <row r="405" spans="1:16" ht="15">
      <c r="A405" s="217"/>
      <c r="B405" s="218"/>
      <c r="C405" s="221"/>
      <c r="D405" s="222"/>
      <c r="E405" s="223"/>
      <c r="F405" s="221"/>
      <c r="G405" s="221"/>
      <c r="H405" s="191"/>
      <c r="I405" s="191"/>
      <c r="J405" s="191"/>
      <c r="K405" s="191"/>
      <c r="L405" s="221"/>
      <c r="M405" s="221"/>
      <c r="N405" s="221"/>
      <c r="O405" s="221"/>
      <c r="P405" s="221"/>
    </row>
    <row r="406" spans="1:16" ht="15">
      <c r="A406" s="217"/>
      <c r="B406" s="218"/>
      <c r="C406" s="221"/>
      <c r="D406" s="222"/>
      <c r="E406" s="223"/>
      <c r="F406" s="221"/>
      <c r="G406" s="221"/>
      <c r="H406" s="191"/>
      <c r="I406" s="191"/>
      <c r="J406" s="191"/>
      <c r="K406" s="191"/>
      <c r="L406" s="221"/>
      <c r="M406" s="221"/>
      <c r="N406" s="221"/>
      <c r="O406" s="221"/>
      <c r="P406" s="221"/>
    </row>
    <row r="407" spans="1:16" ht="15">
      <c r="A407" s="217"/>
      <c r="B407" s="218"/>
      <c r="C407" s="221"/>
      <c r="D407" s="222"/>
      <c r="E407" s="223"/>
      <c r="F407" s="221"/>
      <c r="G407" s="221"/>
      <c r="H407" s="191"/>
      <c r="I407" s="191"/>
      <c r="J407" s="191"/>
      <c r="K407" s="191"/>
      <c r="L407" s="221"/>
      <c r="M407" s="221"/>
      <c r="N407" s="221"/>
      <c r="O407" s="221"/>
      <c r="P407" s="221"/>
    </row>
    <row r="408" spans="1:16" ht="15">
      <c r="A408" s="217"/>
      <c r="B408" s="218"/>
      <c r="C408" s="221"/>
      <c r="D408" s="222"/>
      <c r="E408" s="223"/>
      <c r="F408" s="221"/>
      <c r="G408" s="221"/>
      <c r="H408" s="191"/>
      <c r="I408" s="191"/>
      <c r="J408" s="191"/>
      <c r="K408" s="191"/>
      <c r="L408" s="221"/>
      <c r="M408" s="221"/>
      <c r="N408" s="221"/>
      <c r="O408" s="221"/>
      <c r="P408" s="221"/>
    </row>
    <row r="409" spans="1:16" ht="15">
      <c r="A409" s="217"/>
      <c r="B409" s="218"/>
      <c r="C409" s="221"/>
      <c r="D409" s="222"/>
      <c r="E409" s="223"/>
      <c r="F409" s="221"/>
      <c r="G409" s="221"/>
      <c r="H409" s="191"/>
      <c r="I409" s="191"/>
      <c r="J409" s="191"/>
      <c r="K409" s="191"/>
      <c r="L409" s="221"/>
      <c r="M409" s="221"/>
      <c r="N409" s="221"/>
      <c r="O409" s="221"/>
      <c r="P409" s="221"/>
    </row>
    <row r="410" spans="1:16" ht="15">
      <c r="A410" s="217"/>
      <c r="B410" s="218"/>
      <c r="C410" s="221"/>
      <c r="D410" s="222"/>
      <c r="E410" s="223"/>
      <c r="F410" s="221"/>
      <c r="G410" s="221"/>
      <c r="H410" s="191"/>
      <c r="I410" s="191"/>
      <c r="J410" s="191"/>
      <c r="K410" s="191"/>
      <c r="L410" s="221"/>
      <c r="M410" s="221"/>
      <c r="N410" s="221"/>
      <c r="O410" s="221"/>
      <c r="P410" s="221"/>
    </row>
    <row r="411" spans="1:16" ht="15">
      <c r="A411" s="217"/>
      <c r="B411" s="218"/>
      <c r="C411" s="221"/>
      <c r="D411" s="222"/>
      <c r="E411" s="223"/>
      <c r="F411" s="221"/>
      <c r="G411" s="221"/>
      <c r="H411" s="191"/>
      <c r="I411" s="191"/>
      <c r="J411" s="191"/>
      <c r="K411" s="191"/>
      <c r="L411" s="221"/>
      <c r="M411" s="221"/>
      <c r="N411" s="221"/>
      <c r="O411" s="221"/>
      <c r="P411" s="221"/>
    </row>
    <row r="412" spans="1:16" ht="15">
      <c r="A412" s="217"/>
      <c r="B412" s="218"/>
      <c r="C412" s="221"/>
      <c r="D412" s="222"/>
      <c r="E412" s="223"/>
      <c r="F412" s="221"/>
      <c r="G412" s="221"/>
      <c r="H412" s="191"/>
      <c r="I412" s="191"/>
      <c r="J412" s="191"/>
      <c r="K412" s="191"/>
      <c r="L412" s="221"/>
      <c r="M412" s="221"/>
      <c r="N412" s="221"/>
      <c r="O412" s="221"/>
      <c r="P412" s="221"/>
    </row>
    <row r="413" spans="1:16" ht="15">
      <c r="A413" s="217"/>
      <c r="B413" s="218"/>
      <c r="C413" s="221"/>
      <c r="D413" s="222"/>
      <c r="E413" s="223"/>
      <c r="F413" s="221"/>
      <c r="G413" s="221"/>
      <c r="H413" s="191"/>
      <c r="I413" s="191"/>
      <c r="J413" s="191"/>
      <c r="K413" s="191"/>
      <c r="L413" s="221"/>
      <c r="M413" s="221"/>
      <c r="N413" s="221"/>
      <c r="O413" s="221"/>
      <c r="P413" s="221"/>
    </row>
    <row r="414" spans="1:16" ht="15">
      <c r="A414" s="217"/>
      <c r="B414" s="218"/>
      <c r="C414" s="221"/>
      <c r="D414" s="222"/>
      <c r="E414" s="223"/>
      <c r="F414" s="221"/>
      <c r="G414" s="221"/>
      <c r="H414" s="191"/>
      <c r="I414" s="191"/>
      <c r="J414" s="191"/>
      <c r="K414" s="191"/>
      <c r="L414" s="221"/>
      <c r="M414" s="221"/>
      <c r="N414" s="221"/>
      <c r="O414" s="221"/>
      <c r="P414" s="221"/>
    </row>
    <row r="415" spans="1:16" ht="15">
      <c r="A415" s="217"/>
      <c r="B415" s="218"/>
      <c r="C415" s="221"/>
      <c r="D415" s="222"/>
      <c r="E415" s="223"/>
      <c r="F415" s="221"/>
      <c r="G415" s="221"/>
      <c r="H415" s="191"/>
      <c r="I415" s="191"/>
      <c r="J415" s="191"/>
      <c r="K415" s="191"/>
      <c r="L415" s="221"/>
      <c r="M415" s="221"/>
      <c r="N415" s="221"/>
      <c r="O415" s="221"/>
      <c r="P415" s="221"/>
    </row>
    <row r="416" spans="1:16" ht="15">
      <c r="A416" s="217"/>
      <c r="B416" s="218"/>
      <c r="C416" s="221"/>
      <c r="D416" s="222"/>
      <c r="E416" s="223"/>
      <c r="F416" s="221"/>
      <c r="G416" s="221"/>
      <c r="H416" s="191"/>
      <c r="I416" s="191"/>
      <c r="J416" s="191"/>
      <c r="K416" s="191"/>
      <c r="L416" s="221"/>
      <c r="M416" s="221"/>
      <c r="N416" s="221"/>
      <c r="O416" s="221"/>
      <c r="P416" s="221"/>
    </row>
    <row r="417" spans="1:16" ht="15">
      <c r="A417" s="217"/>
      <c r="B417" s="218"/>
      <c r="C417" s="221"/>
      <c r="D417" s="222"/>
      <c r="E417" s="223"/>
      <c r="F417" s="221"/>
      <c r="G417" s="221"/>
      <c r="H417" s="191"/>
      <c r="I417" s="191"/>
      <c r="J417" s="191"/>
      <c r="K417" s="191"/>
      <c r="L417" s="221"/>
      <c r="M417" s="221"/>
      <c r="N417" s="221"/>
      <c r="O417" s="221"/>
      <c r="P417" s="221"/>
    </row>
    <row r="418" spans="1:16" ht="15">
      <c r="A418" s="217"/>
      <c r="B418" s="218"/>
      <c r="C418" s="221"/>
      <c r="D418" s="222"/>
      <c r="E418" s="223"/>
      <c r="F418" s="221"/>
      <c r="G418" s="221"/>
      <c r="H418" s="191"/>
      <c r="I418" s="191"/>
      <c r="J418" s="191"/>
      <c r="K418" s="191"/>
      <c r="L418" s="221"/>
      <c r="M418" s="221"/>
      <c r="N418" s="221"/>
      <c r="O418" s="221"/>
      <c r="P418" s="221"/>
    </row>
    <row r="419" spans="1:16" ht="15">
      <c r="A419" s="217"/>
      <c r="B419" s="218"/>
      <c r="C419" s="221"/>
      <c r="D419" s="222"/>
      <c r="E419" s="223"/>
      <c r="F419" s="221"/>
      <c r="G419" s="221"/>
      <c r="H419" s="191"/>
      <c r="I419" s="191"/>
      <c r="J419" s="191"/>
      <c r="K419" s="191"/>
      <c r="L419" s="221"/>
      <c r="M419" s="221"/>
      <c r="N419" s="221"/>
      <c r="O419" s="221"/>
      <c r="P419" s="221"/>
    </row>
    <row r="420" spans="1:16" ht="15">
      <c r="A420" s="217"/>
      <c r="B420" s="218"/>
      <c r="C420" s="221"/>
      <c r="D420" s="222"/>
      <c r="E420" s="223"/>
      <c r="F420" s="221"/>
      <c r="G420" s="221"/>
      <c r="H420" s="191"/>
      <c r="I420" s="191"/>
      <c r="J420" s="191"/>
      <c r="K420" s="191"/>
      <c r="L420" s="221"/>
      <c r="M420" s="221"/>
      <c r="N420" s="221"/>
      <c r="O420" s="221"/>
      <c r="P420" s="221"/>
    </row>
    <row r="421" spans="1:16" ht="15">
      <c r="A421" s="217"/>
      <c r="B421" s="218"/>
      <c r="C421" s="221"/>
      <c r="D421" s="222"/>
      <c r="E421" s="223"/>
      <c r="F421" s="221"/>
      <c r="G421" s="221"/>
      <c r="H421" s="191"/>
      <c r="I421" s="191"/>
      <c r="J421" s="191"/>
      <c r="K421" s="191"/>
      <c r="L421" s="221"/>
      <c r="M421" s="221"/>
      <c r="N421" s="221"/>
      <c r="O421" s="221"/>
      <c r="P421" s="221"/>
    </row>
    <row r="422" spans="1:16" ht="15">
      <c r="A422" s="217"/>
      <c r="B422" s="218"/>
      <c r="C422" s="221"/>
      <c r="D422" s="222"/>
      <c r="E422" s="223"/>
      <c r="F422" s="221"/>
      <c r="G422" s="221"/>
      <c r="H422" s="191"/>
      <c r="I422" s="191"/>
      <c r="J422" s="191"/>
      <c r="K422" s="191"/>
      <c r="L422" s="221"/>
      <c r="M422" s="221"/>
      <c r="N422" s="221"/>
      <c r="O422" s="221"/>
      <c r="P422" s="221"/>
    </row>
    <row r="423" spans="1:16" ht="15">
      <c r="A423" s="217"/>
      <c r="B423" s="218"/>
      <c r="C423" s="221"/>
      <c r="D423" s="222"/>
      <c r="E423" s="223"/>
      <c r="F423" s="221"/>
      <c r="G423" s="221"/>
      <c r="H423" s="191"/>
      <c r="I423" s="191"/>
      <c r="J423" s="191"/>
      <c r="K423" s="191"/>
      <c r="L423" s="221"/>
      <c r="M423" s="221"/>
      <c r="N423" s="221"/>
      <c r="O423" s="221"/>
      <c r="P423" s="221"/>
    </row>
    <row r="424" spans="1:16" ht="15">
      <c r="A424" s="217"/>
      <c r="B424" s="218"/>
      <c r="C424" s="221"/>
      <c r="D424" s="222"/>
      <c r="E424" s="223"/>
      <c r="F424" s="221"/>
      <c r="G424" s="221"/>
      <c r="H424" s="191"/>
      <c r="I424" s="191"/>
      <c r="J424" s="191"/>
      <c r="K424" s="191"/>
      <c r="L424" s="221"/>
      <c r="M424" s="221"/>
      <c r="N424" s="221"/>
      <c r="O424" s="221"/>
      <c r="P424" s="221"/>
    </row>
    <row r="425" spans="1:16" ht="15">
      <c r="A425" s="217"/>
      <c r="B425" s="218"/>
      <c r="C425" s="221"/>
      <c r="D425" s="222"/>
      <c r="E425" s="223"/>
      <c r="F425" s="221"/>
      <c r="G425" s="221"/>
      <c r="H425" s="191"/>
      <c r="I425" s="191"/>
      <c r="J425" s="191"/>
      <c r="K425" s="191"/>
      <c r="L425" s="221"/>
      <c r="M425" s="221"/>
      <c r="N425" s="221"/>
      <c r="O425" s="221"/>
      <c r="P425" s="221"/>
    </row>
    <row r="426" spans="1:16" ht="15">
      <c r="A426" s="217"/>
      <c r="B426" s="218"/>
      <c r="C426" s="221"/>
      <c r="D426" s="222"/>
      <c r="E426" s="223"/>
      <c r="F426" s="221"/>
      <c r="G426" s="221"/>
      <c r="H426" s="191"/>
      <c r="I426" s="191"/>
      <c r="J426" s="191"/>
      <c r="K426" s="191"/>
      <c r="L426" s="221"/>
      <c r="M426" s="221"/>
      <c r="N426" s="221"/>
      <c r="O426" s="221"/>
      <c r="P426" s="221"/>
    </row>
    <row r="427" spans="1:16" ht="15">
      <c r="A427" s="217"/>
      <c r="B427" s="218"/>
      <c r="C427" s="221"/>
      <c r="D427" s="222"/>
      <c r="E427" s="223"/>
      <c r="F427" s="221"/>
      <c r="G427" s="221"/>
      <c r="H427" s="191"/>
      <c r="I427" s="191"/>
      <c r="J427" s="191"/>
      <c r="K427" s="191"/>
      <c r="L427" s="221"/>
      <c r="M427" s="221"/>
      <c r="N427" s="221"/>
      <c r="O427" s="221"/>
      <c r="P427" s="221"/>
    </row>
    <row r="428" spans="1:16" ht="15">
      <c r="A428" s="217"/>
      <c r="B428" s="218"/>
      <c r="C428" s="221"/>
      <c r="D428" s="222"/>
      <c r="E428" s="223"/>
      <c r="F428" s="221"/>
      <c r="G428" s="221"/>
      <c r="H428" s="191"/>
      <c r="I428" s="191"/>
      <c r="J428" s="191"/>
      <c r="K428" s="191"/>
      <c r="L428" s="221"/>
      <c r="M428" s="221"/>
      <c r="N428" s="221"/>
      <c r="O428" s="221"/>
      <c r="P428" s="221"/>
    </row>
    <row r="429" spans="1:16" ht="15">
      <c r="A429" s="217"/>
      <c r="B429" s="218"/>
      <c r="C429" s="221"/>
      <c r="D429" s="222"/>
      <c r="E429" s="223"/>
      <c r="F429" s="221"/>
      <c r="G429" s="221"/>
      <c r="H429" s="191"/>
      <c r="I429" s="191"/>
      <c r="J429" s="191"/>
      <c r="K429" s="191"/>
      <c r="L429" s="221"/>
      <c r="M429" s="221"/>
      <c r="N429" s="221"/>
      <c r="O429" s="221"/>
      <c r="P429" s="221"/>
    </row>
    <row r="430" spans="1:16" ht="15">
      <c r="A430" s="217"/>
      <c r="B430" s="218"/>
      <c r="C430" s="221"/>
      <c r="D430" s="222"/>
      <c r="E430" s="223"/>
      <c r="F430" s="221"/>
      <c r="G430" s="221"/>
      <c r="H430" s="191"/>
      <c r="I430" s="191"/>
      <c r="J430" s="191"/>
      <c r="K430" s="191"/>
      <c r="L430" s="221"/>
      <c r="M430" s="221"/>
      <c r="N430" s="221"/>
      <c r="O430" s="221"/>
      <c r="P430" s="221"/>
    </row>
    <row r="431" spans="1:16" ht="15">
      <c r="A431" s="217"/>
      <c r="B431" s="218"/>
      <c r="C431" s="221"/>
      <c r="D431" s="222"/>
      <c r="E431" s="223"/>
      <c r="F431" s="221"/>
      <c r="G431" s="221"/>
      <c r="H431" s="191"/>
      <c r="I431" s="191"/>
      <c r="J431" s="191"/>
      <c r="K431" s="191"/>
      <c r="L431" s="221"/>
      <c r="M431" s="221"/>
      <c r="N431" s="221"/>
      <c r="O431" s="221"/>
      <c r="P431" s="221"/>
    </row>
    <row r="432" spans="1:16" ht="15">
      <c r="A432" s="217"/>
      <c r="B432" s="218"/>
      <c r="C432" s="221"/>
      <c r="D432" s="222"/>
      <c r="E432" s="223"/>
      <c r="F432" s="221"/>
      <c r="G432" s="221"/>
      <c r="H432" s="191"/>
      <c r="I432" s="191"/>
      <c r="J432" s="191"/>
      <c r="K432" s="191"/>
      <c r="L432" s="221"/>
      <c r="M432" s="221"/>
      <c r="N432" s="221"/>
      <c r="O432" s="221"/>
      <c r="P432" s="221"/>
    </row>
    <row r="433" spans="1:16" ht="15">
      <c r="A433" s="217"/>
      <c r="B433" s="218"/>
      <c r="C433" s="221"/>
      <c r="D433" s="222"/>
      <c r="E433" s="223"/>
      <c r="F433" s="221"/>
      <c r="G433" s="221"/>
      <c r="H433" s="191"/>
      <c r="I433" s="191"/>
      <c r="J433" s="191"/>
      <c r="K433" s="191"/>
      <c r="L433" s="221"/>
      <c r="M433" s="221"/>
      <c r="N433" s="221"/>
      <c r="O433" s="221"/>
      <c r="P433" s="221"/>
    </row>
    <row r="434" spans="1:16" ht="15">
      <c r="A434" s="217"/>
      <c r="B434" s="218"/>
      <c r="C434" s="221"/>
      <c r="D434" s="222"/>
      <c r="E434" s="223"/>
      <c r="F434" s="221"/>
      <c r="G434" s="221"/>
      <c r="H434" s="191"/>
      <c r="I434" s="191"/>
      <c r="J434" s="191"/>
      <c r="K434" s="191"/>
      <c r="L434" s="221"/>
      <c r="M434" s="221"/>
      <c r="N434" s="221"/>
      <c r="O434" s="221"/>
      <c r="P434" s="221"/>
    </row>
    <row r="435" spans="1:16" ht="15">
      <c r="A435" s="217"/>
      <c r="B435" s="218"/>
      <c r="C435" s="221"/>
      <c r="D435" s="222"/>
      <c r="E435" s="223"/>
      <c r="F435" s="221"/>
      <c r="G435" s="221"/>
      <c r="H435" s="191"/>
      <c r="I435" s="191"/>
      <c r="J435" s="191"/>
      <c r="K435" s="191"/>
      <c r="L435" s="221"/>
      <c r="M435" s="221"/>
      <c r="N435" s="221"/>
      <c r="O435" s="221"/>
      <c r="P435" s="221"/>
    </row>
    <row r="436" spans="1:16" ht="15">
      <c r="A436" s="217"/>
      <c r="B436" s="218"/>
      <c r="C436" s="221"/>
      <c r="D436" s="222"/>
      <c r="E436" s="223"/>
      <c r="F436" s="221"/>
      <c r="G436" s="221"/>
      <c r="H436" s="191"/>
      <c r="I436" s="191"/>
      <c r="J436" s="191"/>
      <c r="K436" s="191"/>
      <c r="L436" s="221"/>
      <c r="M436" s="221"/>
      <c r="N436" s="221"/>
      <c r="O436" s="221"/>
      <c r="P436" s="221"/>
    </row>
    <row r="437" spans="1:16" ht="15">
      <c r="A437" s="217"/>
      <c r="B437" s="218"/>
      <c r="C437" s="221"/>
      <c r="D437" s="222"/>
      <c r="E437" s="223"/>
      <c r="F437" s="221"/>
      <c r="G437" s="221"/>
      <c r="H437" s="191"/>
      <c r="I437" s="191"/>
      <c r="J437" s="191"/>
      <c r="K437" s="191"/>
      <c r="L437" s="221"/>
      <c r="M437" s="221"/>
      <c r="N437" s="221"/>
      <c r="O437" s="221"/>
      <c r="P437" s="221"/>
    </row>
    <row r="438" spans="1:16" ht="15">
      <c r="A438" s="217"/>
      <c r="B438" s="218"/>
      <c r="C438" s="221"/>
      <c r="D438" s="222"/>
      <c r="E438" s="223"/>
      <c r="F438" s="221"/>
      <c r="G438" s="221"/>
      <c r="H438" s="191"/>
      <c r="I438" s="191"/>
      <c r="J438" s="191"/>
      <c r="K438" s="191"/>
      <c r="L438" s="221"/>
      <c r="M438" s="221"/>
      <c r="N438" s="221"/>
      <c r="O438" s="221"/>
      <c r="P438" s="221"/>
    </row>
    <row r="439" spans="1:16" ht="15">
      <c r="A439" s="217"/>
      <c r="B439" s="218"/>
      <c r="C439" s="221"/>
      <c r="D439" s="222"/>
      <c r="E439" s="223"/>
      <c r="F439" s="221"/>
      <c r="G439" s="221"/>
      <c r="H439" s="191"/>
      <c r="I439" s="191"/>
      <c r="J439" s="191"/>
      <c r="K439" s="191"/>
      <c r="L439" s="221"/>
      <c r="M439" s="221"/>
      <c r="N439" s="221"/>
      <c r="O439" s="221"/>
      <c r="P439" s="221"/>
    </row>
    <row r="440" spans="1:16" ht="15">
      <c r="A440" s="217"/>
      <c r="B440" s="218"/>
      <c r="C440" s="221"/>
      <c r="D440" s="222"/>
      <c r="E440" s="223"/>
      <c r="F440" s="221"/>
      <c r="G440" s="221"/>
      <c r="H440" s="191"/>
      <c r="I440" s="191"/>
      <c r="J440" s="191"/>
      <c r="K440" s="191"/>
      <c r="L440" s="221"/>
      <c r="M440" s="221"/>
      <c r="N440" s="221"/>
      <c r="O440" s="221"/>
      <c r="P440" s="221"/>
    </row>
    <row r="441" spans="1:16" ht="15">
      <c r="A441" s="217"/>
      <c r="B441" s="218"/>
      <c r="C441" s="221"/>
      <c r="D441" s="222"/>
      <c r="E441" s="223"/>
      <c r="F441" s="221"/>
      <c r="G441" s="221"/>
      <c r="H441" s="191"/>
      <c r="I441" s="191"/>
      <c r="J441" s="191"/>
      <c r="K441" s="191"/>
      <c r="L441" s="221"/>
      <c r="M441" s="221"/>
      <c r="N441" s="221"/>
      <c r="O441" s="221"/>
      <c r="P441" s="221"/>
    </row>
    <row r="442" spans="1:16" ht="15">
      <c r="A442" s="217"/>
      <c r="B442" s="218"/>
      <c r="C442" s="221"/>
      <c r="D442" s="222"/>
      <c r="E442" s="223"/>
      <c r="F442" s="221"/>
      <c r="G442" s="221"/>
      <c r="H442" s="191"/>
      <c r="I442" s="191"/>
      <c r="J442" s="191"/>
      <c r="K442" s="191"/>
      <c r="L442" s="221"/>
      <c r="M442" s="221"/>
      <c r="N442" s="221"/>
      <c r="O442" s="221"/>
      <c r="P442" s="221"/>
    </row>
    <row r="443" spans="1:16" ht="15">
      <c r="A443" s="217"/>
      <c r="B443" s="218"/>
      <c r="C443" s="221"/>
      <c r="D443" s="222"/>
      <c r="E443" s="223"/>
      <c r="F443" s="221"/>
      <c r="G443" s="221"/>
      <c r="H443" s="191"/>
      <c r="I443" s="191"/>
      <c r="J443" s="191"/>
      <c r="K443" s="191"/>
      <c r="L443" s="221"/>
      <c r="M443" s="221"/>
      <c r="N443" s="221"/>
      <c r="O443" s="221"/>
      <c r="P443" s="221"/>
    </row>
    <row r="444" spans="1:16" ht="15">
      <c r="A444" s="217"/>
      <c r="B444" s="218"/>
      <c r="C444" s="221"/>
      <c r="D444" s="222"/>
      <c r="E444" s="223"/>
      <c r="F444" s="221"/>
      <c r="G444" s="221"/>
      <c r="H444" s="191"/>
      <c r="I444" s="191"/>
      <c r="J444" s="191"/>
      <c r="K444" s="191"/>
      <c r="L444" s="221"/>
      <c r="M444" s="221"/>
      <c r="N444" s="221"/>
      <c r="O444" s="221"/>
      <c r="P444" s="221"/>
    </row>
    <row r="445" spans="1:16" ht="15">
      <c r="A445" s="217"/>
      <c r="B445" s="218"/>
      <c r="C445" s="221"/>
      <c r="D445" s="222"/>
      <c r="E445" s="223"/>
      <c r="F445" s="221"/>
      <c r="G445" s="221"/>
      <c r="H445" s="191"/>
      <c r="I445" s="191"/>
      <c r="J445" s="191"/>
      <c r="K445" s="191"/>
      <c r="L445" s="221"/>
      <c r="M445" s="221"/>
      <c r="N445" s="221"/>
      <c r="O445" s="221"/>
      <c r="P445" s="221"/>
    </row>
    <row r="446" spans="1:16" ht="15">
      <c r="A446" s="217"/>
      <c r="B446" s="218"/>
      <c r="C446" s="221"/>
      <c r="D446" s="222"/>
      <c r="E446" s="223"/>
      <c r="F446" s="221"/>
      <c r="G446" s="221"/>
      <c r="H446" s="191"/>
      <c r="I446" s="191"/>
      <c r="J446" s="191"/>
      <c r="K446" s="191"/>
      <c r="L446" s="221"/>
      <c r="M446" s="221"/>
      <c r="N446" s="221"/>
      <c r="O446" s="221"/>
      <c r="P446" s="221"/>
    </row>
    <row r="447" spans="1:16" ht="15">
      <c r="A447" s="217"/>
      <c r="B447" s="218"/>
      <c r="C447" s="221"/>
      <c r="D447" s="222"/>
      <c r="E447" s="223"/>
      <c r="F447" s="221"/>
      <c r="G447" s="221"/>
      <c r="H447" s="191"/>
      <c r="I447" s="191"/>
      <c r="J447" s="191"/>
      <c r="K447" s="191"/>
      <c r="L447" s="221"/>
      <c r="M447" s="221"/>
      <c r="N447" s="221"/>
      <c r="O447" s="221"/>
      <c r="P447" s="221"/>
    </row>
    <row r="448" spans="1:16" ht="15">
      <c r="A448" s="217"/>
      <c r="B448" s="218"/>
      <c r="C448" s="221"/>
      <c r="D448" s="222"/>
      <c r="E448" s="223"/>
      <c r="F448" s="221"/>
      <c r="G448" s="221"/>
      <c r="H448" s="191"/>
      <c r="I448" s="191"/>
      <c r="J448" s="191"/>
      <c r="K448" s="191"/>
      <c r="L448" s="221"/>
      <c r="M448" s="221"/>
      <c r="N448" s="221"/>
      <c r="O448" s="221"/>
      <c r="P448" s="221"/>
    </row>
    <row r="449" spans="1:16" ht="15">
      <c r="A449" s="217"/>
      <c r="B449" s="218"/>
      <c r="C449" s="221"/>
      <c r="D449" s="222"/>
      <c r="E449" s="223"/>
      <c r="F449" s="221"/>
      <c r="G449" s="221"/>
      <c r="H449" s="191"/>
      <c r="I449" s="191"/>
      <c r="J449" s="191"/>
      <c r="K449" s="191"/>
      <c r="L449" s="221"/>
      <c r="M449" s="221"/>
      <c r="N449" s="221"/>
      <c r="O449" s="221"/>
      <c r="P449" s="221"/>
    </row>
    <row r="450" spans="1:16" ht="15">
      <c r="A450" s="217"/>
      <c r="B450" s="218"/>
      <c r="C450" s="221"/>
      <c r="D450" s="222"/>
      <c r="E450" s="223"/>
      <c r="F450" s="221"/>
      <c r="G450" s="221"/>
      <c r="H450" s="191"/>
      <c r="I450" s="191"/>
      <c r="J450" s="191"/>
      <c r="K450" s="191"/>
      <c r="L450" s="221"/>
      <c r="M450" s="221"/>
      <c r="N450" s="221"/>
      <c r="O450" s="221"/>
      <c r="P450" s="221"/>
    </row>
    <row r="451" spans="1:16" ht="15">
      <c r="A451" s="217"/>
      <c r="B451" s="218"/>
      <c r="C451" s="221"/>
      <c r="D451" s="222"/>
      <c r="E451" s="223"/>
      <c r="F451" s="221"/>
      <c r="G451" s="221"/>
      <c r="H451" s="191"/>
      <c r="I451" s="191"/>
      <c r="J451" s="191"/>
      <c r="K451" s="191"/>
      <c r="L451" s="221"/>
      <c r="M451" s="221"/>
      <c r="N451" s="221"/>
      <c r="O451" s="221"/>
      <c r="P451" s="221"/>
    </row>
    <row r="452" spans="1:16" ht="15">
      <c r="A452" s="217"/>
      <c r="B452" s="218"/>
      <c r="C452" s="221"/>
      <c r="D452" s="222"/>
      <c r="E452" s="223"/>
      <c r="F452" s="221"/>
      <c r="G452" s="221"/>
      <c r="H452" s="191"/>
      <c r="I452" s="191"/>
      <c r="J452" s="191"/>
      <c r="K452" s="191"/>
      <c r="L452" s="221"/>
      <c r="M452" s="221"/>
      <c r="N452" s="221"/>
      <c r="O452" s="221"/>
      <c r="P452" s="221"/>
    </row>
    <row r="453" spans="1:16" ht="15">
      <c r="A453" s="217"/>
      <c r="B453" s="218"/>
      <c r="C453" s="221"/>
      <c r="D453" s="222"/>
      <c r="E453" s="223"/>
      <c r="F453" s="221"/>
      <c r="G453" s="221"/>
      <c r="H453" s="191"/>
      <c r="I453" s="191"/>
      <c r="J453" s="191"/>
      <c r="K453" s="191"/>
      <c r="L453" s="221"/>
      <c r="M453" s="221"/>
      <c r="N453" s="221"/>
      <c r="O453" s="221"/>
      <c r="P453" s="221"/>
    </row>
    <row r="454" spans="1:16" ht="15">
      <c r="A454" s="217"/>
      <c r="B454" s="218"/>
      <c r="C454" s="221"/>
      <c r="D454" s="222"/>
      <c r="E454" s="223"/>
      <c r="F454" s="221"/>
      <c r="G454" s="221"/>
      <c r="H454" s="191"/>
      <c r="I454" s="191"/>
      <c r="J454" s="191"/>
      <c r="K454" s="191"/>
      <c r="L454" s="221"/>
      <c r="M454" s="221"/>
      <c r="N454" s="221"/>
      <c r="O454" s="221"/>
      <c r="P454" s="221"/>
    </row>
    <row r="455" spans="1:16" ht="15">
      <c r="A455" s="217"/>
      <c r="B455" s="218"/>
      <c r="C455" s="221"/>
      <c r="D455" s="222"/>
      <c r="E455" s="223"/>
      <c r="F455" s="221"/>
      <c r="G455" s="221"/>
      <c r="H455" s="191"/>
      <c r="I455" s="191"/>
      <c r="J455" s="191"/>
      <c r="K455" s="191"/>
      <c r="L455" s="221"/>
      <c r="M455" s="221"/>
      <c r="N455" s="221"/>
      <c r="O455" s="221"/>
      <c r="P455" s="221"/>
    </row>
    <row r="456" spans="1:16" ht="15">
      <c r="A456" s="217"/>
      <c r="B456" s="218"/>
      <c r="C456" s="221"/>
      <c r="D456" s="222"/>
      <c r="E456" s="223"/>
      <c r="F456" s="221"/>
      <c r="G456" s="221"/>
      <c r="H456" s="191"/>
      <c r="I456" s="191"/>
      <c r="J456" s="191"/>
      <c r="K456" s="191"/>
      <c r="L456" s="221"/>
      <c r="M456" s="221"/>
      <c r="N456" s="221"/>
      <c r="O456" s="221"/>
      <c r="P456" s="221"/>
    </row>
    <row r="457" spans="1:16" ht="15">
      <c r="A457" s="217"/>
      <c r="B457" s="218"/>
      <c r="C457" s="221"/>
      <c r="D457" s="222"/>
      <c r="E457" s="223"/>
      <c r="F457" s="221"/>
      <c r="G457" s="221"/>
      <c r="H457" s="191"/>
      <c r="I457" s="191"/>
      <c r="J457" s="191"/>
      <c r="K457" s="191"/>
      <c r="L457" s="221"/>
      <c r="M457" s="221"/>
      <c r="N457" s="221"/>
      <c r="O457" s="221"/>
      <c r="P457" s="221"/>
    </row>
    <row r="458" spans="1:16" ht="15">
      <c r="A458" s="217"/>
      <c r="B458" s="218"/>
      <c r="C458" s="221"/>
      <c r="D458" s="222"/>
      <c r="E458" s="223"/>
      <c r="F458" s="221"/>
      <c r="G458" s="221"/>
      <c r="H458" s="191"/>
      <c r="I458" s="191"/>
      <c r="J458" s="191"/>
      <c r="K458" s="191"/>
      <c r="L458" s="221"/>
      <c r="M458" s="221"/>
      <c r="N458" s="221"/>
      <c r="O458" s="221"/>
      <c r="P458" s="221"/>
    </row>
    <row r="459" spans="1:16" ht="15">
      <c r="A459" s="217"/>
      <c r="B459" s="218"/>
      <c r="C459" s="221"/>
      <c r="D459" s="222"/>
      <c r="E459" s="223"/>
      <c r="F459" s="221"/>
      <c r="G459" s="221"/>
      <c r="H459" s="191"/>
      <c r="I459" s="191"/>
      <c r="J459" s="191"/>
      <c r="K459" s="191"/>
      <c r="L459" s="221"/>
      <c r="M459" s="221"/>
      <c r="N459" s="221"/>
      <c r="O459" s="221"/>
      <c r="P459" s="221"/>
    </row>
    <row r="460" spans="1:16" ht="15">
      <c r="A460" s="217"/>
      <c r="B460" s="218"/>
      <c r="C460" s="221"/>
      <c r="D460" s="222"/>
      <c r="E460" s="223"/>
      <c r="F460" s="221"/>
      <c r="G460" s="221"/>
      <c r="H460" s="191"/>
      <c r="I460" s="191"/>
      <c r="J460" s="191"/>
      <c r="K460" s="191"/>
      <c r="L460" s="221"/>
      <c r="M460" s="221"/>
      <c r="N460" s="221"/>
      <c r="O460" s="221"/>
      <c r="P460" s="221"/>
    </row>
    <row r="461" spans="1:16" ht="15">
      <c r="A461" s="217"/>
      <c r="B461" s="218"/>
      <c r="C461" s="221"/>
      <c r="D461" s="222"/>
      <c r="E461" s="223"/>
      <c r="F461" s="221"/>
      <c r="G461" s="221"/>
      <c r="H461" s="191"/>
      <c r="I461" s="191"/>
      <c r="J461" s="191"/>
      <c r="K461" s="191"/>
      <c r="L461" s="221"/>
      <c r="M461" s="221"/>
      <c r="N461" s="221"/>
      <c r="O461" s="221"/>
      <c r="P461" s="221"/>
    </row>
    <row r="462" spans="1:16" ht="15">
      <c r="A462" s="217"/>
      <c r="B462" s="218"/>
      <c r="C462" s="221"/>
      <c r="D462" s="222"/>
      <c r="E462" s="223"/>
      <c r="F462" s="221"/>
      <c r="G462" s="221"/>
      <c r="H462" s="191"/>
      <c r="I462" s="191"/>
      <c r="J462" s="191"/>
      <c r="K462" s="191"/>
      <c r="L462" s="221"/>
      <c r="M462" s="221"/>
      <c r="N462" s="221"/>
      <c r="O462" s="221"/>
      <c r="P462" s="221"/>
    </row>
    <row r="463" spans="1:16" ht="15">
      <c r="A463" s="217"/>
      <c r="B463" s="218"/>
      <c r="C463" s="221"/>
      <c r="D463" s="222"/>
      <c r="E463" s="223"/>
      <c r="F463" s="221"/>
      <c r="G463" s="221"/>
      <c r="H463" s="191"/>
      <c r="I463" s="191"/>
      <c r="J463" s="191"/>
      <c r="K463" s="191"/>
      <c r="L463" s="221"/>
      <c r="M463" s="221"/>
      <c r="N463" s="221"/>
      <c r="O463" s="221"/>
      <c r="P463" s="221"/>
    </row>
    <row r="464" spans="1:16" ht="15">
      <c r="A464" s="217"/>
      <c r="B464" s="218"/>
      <c r="C464" s="221"/>
      <c r="D464" s="222"/>
      <c r="E464" s="223"/>
      <c r="F464" s="221"/>
      <c r="G464" s="221"/>
      <c r="H464" s="191"/>
      <c r="I464" s="191"/>
      <c r="J464" s="191"/>
      <c r="K464" s="191"/>
      <c r="L464" s="221"/>
      <c r="M464" s="221"/>
      <c r="N464" s="221"/>
      <c r="O464" s="221"/>
      <c r="P464" s="221"/>
    </row>
    <row r="465" spans="1:16" ht="15">
      <c r="A465" s="217"/>
      <c r="B465" s="218"/>
      <c r="C465" s="221"/>
      <c r="D465" s="222"/>
      <c r="E465" s="223"/>
      <c r="F465" s="221"/>
      <c r="G465" s="221"/>
      <c r="H465" s="191"/>
      <c r="I465" s="191"/>
      <c r="J465" s="191"/>
      <c r="K465" s="191"/>
      <c r="L465" s="221"/>
      <c r="M465" s="221"/>
      <c r="N465" s="221"/>
      <c r="O465" s="221"/>
      <c r="P465" s="221"/>
    </row>
    <row r="466" spans="1:16" ht="15">
      <c r="A466" s="217"/>
      <c r="B466" s="218"/>
      <c r="C466" s="221"/>
      <c r="D466" s="222"/>
      <c r="E466" s="223"/>
      <c r="F466" s="221"/>
      <c r="G466" s="221"/>
      <c r="H466" s="191"/>
      <c r="I466" s="191"/>
      <c r="J466" s="191"/>
      <c r="K466" s="191"/>
      <c r="L466" s="221"/>
      <c r="M466" s="221"/>
      <c r="N466" s="221"/>
      <c r="O466" s="221"/>
      <c r="P466" s="221"/>
    </row>
    <row r="467" spans="1:16" ht="15">
      <c r="A467" s="217"/>
      <c r="B467" s="218"/>
      <c r="C467" s="221"/>
      <c r="D467" s="222"/>
      <c r="E467" s="223"/>
      <c r="F467" s="221"/>
      <c r="G467" s="221"/>
      <c r="H467" s="191"/>
      <c r="I467" s="191"/>
      <c r="J467" s="191"/>
      <c r="K467" s="191"/>
      <c r="L467" s="221"/>
      <c r="M467" s="221"/>
      <c r="N467" s="221"/>
      <c r="O467" s="221"/>
      <c r="P467" s="221"/>
    </row>
    <row r="468" spans="1:16" ht="15">
      <c r="A468" s="217"/>
      <c r="B468" s="218"/>
      <c r="C468" s="221"/>
      <c r="D468" s="222"/>
      <c r="E468" s="223"/>
      <c r="F468" s="221"/>
      <c r="G468" s="221"/>
      <c r="H468" s="191"/>
      <c r="I468" s="191"/>
      <c r="J468" s="191"/>
      <c r="K468" s="191"/>
      <c r="L468" s="221"/>
      <c r="M468" s="221"/>
      <c r="N468" s="221"/>
      <c r="O468" s="221"/>
      <c r="P468" s="221"/>
    </row>
    <row r="469" spans="1:16" ht="15">
      <c r="A469" s="217"/>
      <c r="B469" s="218"/>
      <c r="C469" s="221"/>
      <c r="D469" s="222"/>
      <c r="E469" s="223"/>
      <c r="F469" s="221"/>
      <c r="G469" s="221"/>
      <c r="H469" s="191"/>
      <c r="I469" s="191"/>
      <c r="J469" s="191"/>
      <c r="K469" s="191"/>
      <c r="L469" s="221"/>
      <c r="M469" s="221"/>
      <c r="N469" s="221"/>
      <c r="O469" s="221"/>
      <c r="P469" s="221"/>
    </row>
    <row r="470" spans="1:16" ht="15">
      <c r="A470" s="217"/>
      <c r="B470" s="218"/>
      <c r="C470" s="221"/>
      <c r="D470" s="222"/>
      <c r="E470" s="223"/>
      <c r="F470" s="221"/>
      <c r="G470" s="221"/>
      <c r="H470" s="191"/>
      <c r="I470" s="191"/>
      <c r="J470" s="191"/>
      <c r="K470" s="191"/>
      <c r="L470" s="221"/>
      <c r="M470" s="221"/>
      <c r="N470" s="221"/>
      <c r="O470" s="221"/>
      <c r="P470" s="221"/>
    </row>
    <row r="471" spans="1:16" ht="15">
      <c r="A471" s="217"/>
      <c r="B471" s="218"/>
      <c r="C471" s="221"/>
      <c r="D471" s="222"/>
      <c r="E471" s="223"/>
      <c r="F471" s="221"/>
      <c r="G471" s="221"/>
      <c r="H471" s="191"/>
      <c r="I471" s="191"/>
      <c r="J471" s="191"/>
      <c r="K471" s="191"/>
      <c r="L471" s="221"/>
      <c r="M471" s="221"/>
      <c r="N471" s="221"/>
      <c r="O471" s="221"/>
      <c r="P471" s="221"/>
    </row>
    <row r="472" spans="1:16" ht="15">
      <c r="A472" s="217"/>
      <c r="B472" s="218"/>
      <c r="C472" s="221"/>
      <c r="D472" s="222"/>
      <c r="E472" s="223"/>
      <c r="F472" s="221"/>
      <c r="G472" s="221"/>
      <c r="H472" s="191"/>
      <c r="I472" s="191"/>
      <c r="J472" s="191"/>
      <c r="K472" s="191"/>
      <c r="L472" s="221"/>
      <c r="M472" s="221"/>
      <c r="N472" s="221"/>
      <c r="O472" s="221"/>
      <c r="P472" s="221"/>
    </row>
    <row r="473" spans="1:16" ht="15">
      <c r="A473" s="217"/>
      <c r="B473" s="218"/>
      <c r="C473" s="221"/>
      <c r="D473" s="222"/>
      <c r="E473" s="223"/>
      <c r="F473" s="221"/>
      <c r="G473" s="221"/>
      <c r="H473" s="191"/>
      <c r="I473" s="191"/>
      <c r="J473" s="191"/>
      <c r="K473" s="191"/>
      <c r="L473" s="221"/>
      <c r="M473" s="221"/>
      <c r="N473" s="221"/>
      <c r="O473" s="221"/>
      <c r="P473" s="221"/>
    </row>
    <row r="474" spans="1:16" ht="15">
      <c r="A474" s="217"/>
      <c r="B474" s="218"/>
      <c r="C474" s="221"/>
      <c r="D474" s="222"/>
      <c r="E474" s="223"/>
      <c r="F474" s="221"/>
      <c r="G474" s="221"/>
      <c r="H474" s="191"/>
      <c r="I474" s="191"/>
      <c r="J474" s="191"/>
      <c r="K474" s="191"/>
      <c r="L474" s="221"/>
      <c r="M474" s="221"/>
      <c r="N474" s="221"/>
      <c r="O474" s="221"/>
      <c r="P474" s="221"/>
    </row>
    <row r="475" spans="1:16" ht="15">
      <c r="A475" s="217"/>
      <c r="B475" s="218"/>
      <c r="C475" s="221"/>
      <c r="D475" s="222"/>
      <c r="E475" s="223"/>
      <c r="F475" s="221"/>
      <c r="G475" s="221"/>
      <c r="H475" s="191"/>
      <c r="I475" s="191"/>
      <c r="J475" s="191"/>
      <c r="K475" s="191"/>
      <c r="L475" s="221"/>
      <c r="M475" s="221"/>
      <c r="N475" s="221"/>
      <c r="O475" s="221"/>
      <c r="P475" s="221"/>
    </row>
    <row r="476" spans="1:16" ht="15">
      <c r="A476" s="217"/>
      <c r="B476" s="218"/>
      <c r="C476" s="221"/>
      <c r="D476" s="222"/>
      <c r="E476" s="223"/>
      <c r="F476" s="221"/>
      <c r="G476" s="221"/>
      <c r="H476" s="191"/>
      <c r="I476" s="191"/>
      <c r="J476" s="191"/>
      <c r="K476" s="191"/>
      <c r="L476" s="221"/>
      <c r="M476" s="221"/>
      <c r="N476" s="221"/>
      <c r="O476" s="221"/>
      <c r="P476" s="221"/>
    </row>
    <row r="477" spans="1:16" ht="15">
      <c r="A477" s="217"/>
      <c r="B477" s="218"/>
      <c r="C477" s="221"/>
      <c r="D477" s="222"/>
      <c r="E477" s="223"/>
      <c r="F477" s="221"/>
      <c r="G477" s="221"/>
      <c r="H477" s="191"/>
      <c r="I477" s="191"/>
      <c r="J477" s="191"/>
      <c r="K477" s="191"/>
      <c r="L477" s="221"/>
      <c r="M477" s="221"/>
      <c r="N477" s="221"/>
      <c r="O477" s="221"/>
      <c r="P477" s="221"/>
    </row>
    <row r="478" spans="1:16" ht="15">
      <c r="A478" s="217"/>
      <c r="B478" s="218"/>
      <c r="C478" s="221"/>
      <c r="D478" s="222"/>
      <c r="E478" s="223"/>
      <c r="F478" s="221"/>
      <c r="G478" s="221"/>
      <c r="H478" s="191"/>
      <c r="I478" s="191"/>
      <c r="J478" s="191"/>
      <c r="K478" s="191"/>
      <c r="L478" s="221"/>
      <c r="M478" s="221"/>
      <c r="N478" s="221"/>
      <c r="O478" s="221"/>
      <c r="P478" s="221"/>
    </row>
    <row r="479" spans="1:16" ht="15">
      <c r="A479" s="217"/>
      <c r="B479" s="218"/>
      <c r="C479" s="221"/>
      <c r="D479" s="222"/>
      <c r="E479" s="223"/>
      <c r="F479" s="221"/>
      <c r="G479" s="221"/>
      <c r="H479" s="191"/>
      <c r="I479" s="191"/>
      <c r="J479" s="191"/>
      <c r="K479" s="191"/>
      <c r="L479" s="221"/>
      <c r="M479" s="221"/>
      <c r="N479" s="221"/>
      <c r="O479" s="221"/>
      <c r="P479" s="221"/>
    </row>
    <row r="480" spans="1:16" ht="15">
      <c r="A480" s="217"/>
      <c r="B480" s="218"/>
      <c r="C480" s="221"/>
      <c r="D480" s="222"/>
      <c r="E480" s="223"/>
      <c r="F480" s="221"/>
      <c r="G480" s="221"/>
      <c r="H480" s="191"/>
      <c r="I480" s="191"/>
      <c r="J480" s="191"/>
      <c r="K480" s="191"/>
      <c r="L480" s="221"/>
      <c r="M480" s="221"/>
      <c r="N480" s="221"/>
      <c r="O480" s="221"/>
      <c r="P480" s="221"/>
    </row>
    <row r="481" spans="1:16" ht="15">
      <c r="A481" s="217"/>
      <c r="B481" s="218"/>
      <c r="C481" s="221"/>
      <c r="D481" s="222"/>
      <c r="E481" s="223"/>
      <c r="F481" s="221"/>
      <c r="G481" s="221"/>
      <c r="H481" s="191"/>
      <c r="I481" s="191"/>
      <c r="J481" s="191"/>
      <c r="K481" s="191"/>
      <c r="L481" s="221"/>
      <c r="M481" s="221"/>
      <c r="N481" s="221"/>
      <c r="O481" s="221"/>
      <c r="P481" s="221"/>
    </row>
    <row r="482" spans="1:16" ht="15">
      <c r="A482" s="217"/>
      <c r="B482" s="218"/>
      <c r="C482" s="221"/>
      <c r="D482" s="222"/>
      <c r="E482" s="223"/>
      <c r="F482" s="221"/>
      <c r="G482" s="221"/>
      <c r="H482" s="191"/>
      <c r="I482" s="191"/>
      <c r="J482" s="191"/>
      <c r="K482" s="191"/>
      <c r="L482" s="221"/>
      <c r="M482" s="221"/>
      <c r="N482" s="221"/>
      <c r="O482" s="221"/>
      <c r="P482" s="221"/>
    </row>
    <row r="483" spans="1:16" ht="15">
      <c r="A483" s="217"/>
      <c r="B483" s="218"/>
      <c r="C483" s="221"/>
      <c r="D483" s="222"/>
      <c r="E483" s="223"/>
      <c r="F483" s="221"/>
      <c r="G483" s="221"/>
      <c r="H483" s="191"/>
      <c r="I483" s="191"/>
      <c r="J483" s="191"/>
      <c r="K483" s="191"/>
      <c r="L483" s="221"/>
      <c r="M483" s="221"/>
      <c r="N483" s="221"/>
      <c r="O483" s="221"/>
      <c r="P483" s="221"/>
    </row>
    <row r="484" spans="1:16" ht="15">
      <c r="A484" s="217"/>
      <c r="B484" s="218"/>
      <c r="C484" s="221"/>
      <c r="D484" s="222"/>
      <c r="E484" s="223"/>
      <c r="F484" s="221"/>
      <c r="G484" s="221"/>
      <c r="H484" s="191"/>
      <c r="I484" s="191"/>
      <c r="J484" s="191"/>
      <c r="K484" s="191"/>
      <c r="L484" s="221"/>
      <c r="M484" s="221"/>
      <c r="N484" s="221"/>
      <c r="O484" s="221"/>
      <c r="P484" s="221"/>
    </row>
    <row r="485" spans="1:16" ht="15">
      <c r="A485" s="217"/>
      <c r="B485" s="218"/>
      <c r="C485" s="221"/>
      <c r="D485" s="222"/>
      <c r="E485" s="223"/>
      <c r="F485" s="221"/>
      <c r="G485" s="221"/>
      <c r="H485" s="191"/>
      <c r="I485" s="191"/>
      <c r="J485" s="191"/>
      <c r="K485" s="191"/>
      <c r="L485" s="221"/>
      <c r="M485" s="221"/>
      <c r="N485" s="221"/>
      <c r="O485" s="221"/>
      <c r="P485" s="221"/>
    </row>
    <row r="486" spans="1:16" ht="15">
      <c r="A486" s="217"/>
      <c r="B486" s="218"/>
      <c r="C486" s="221"/>
      <c r="D486" s="222"/>
      <c r="E486" s="223"/>
      <c r="F486" s="221"/>
      <c r="G486" s="221"/>
      <c r="H486" s="191"/>
      <c r="I486" s="191"/>
      <c r="J486" s="191"/>
      <c r="K486" s="191"/>
      <c r="L486" s="221"/>
      <c r="M486" s="221"/>
      <c r="N486" s="221"/>
      <c r="O486" s="221"/>
      <c r="P486" s="221"/>
    </row>
    <row r="487" spans="1:16" ht="15">
      <c r="A487" s="217"/>
      <c r="B487" s="218"/>
      <c r="C487" s="221"/>
      <c r="D487" s="222"/>
      <c r="E487" s="223"/>
      <c r="F487" s="221"/>
      <c r="G487" s="221"/>
      <c r="H487" s="191"/>
      <c r="I487" s="191"/>
      <c r="J487" s="191"/>
      <c r="K487" s="191"/>
      <c r="L487" s="221"/>
      <c r="M487" s="221"/>
      <c r="N487" s="221"/>
      <c r="O487" s="221"/>
      <c r="P487" s="221"/>
    </row>
    <row r="488" spans="1:16" ht="15">
      <c r="A488" s="217"/>
      <c r="B488" s="218"/>
      <c r="C488" s="221"/>
      <c r="D488" s="222"/>
      <c r="E488" s="223"/>
      <c r="F488" s="221"/>
      <c r="G488" s="221"/>
      <c r="H488" s="191"/>
      <c r="I488" s="191"/>
      <c r="J488" s="191"/>
      <c r="K488" s="191"/>
      <c r="L488" s="221"/>
      <c r="M488" s="221"/>
      <c r="N488" s="221"/>
      <c r="O488" s="221"/>
      <c r="P488" s="221"/>
    </row>
    <row r="489" spans="1:16" ht="15">
      <c r="A489" s="217"/>
      <c r="B489" s="218"/>
      <c r="C489" s="221"/>
      <c r="D489" s="222"/>
      <c r="E489" s="223"/>
      <c r="F489" s="221"/>
      <c r="G489" s="221"/>
      <c r="H489" s="191"/>
      <c r="I489" s="191"/>
      <c r="J489" s="191"/>
      <c r="K489" s="191"/>
      <c r="L489" s="221"/>
      <c r="M489" s="221"/>
      <c r="N489" s="221"/>
      <c r="O489" s="221"/>
      <c r="P489" s="221"/>
    </row>
    <row r="490" spans="1:16" ht="15">
      <c r="A490" s="217"/>
      <c r="B490" s="218"/>
      <c r="C490" s="221"/>
      <c r="D490" s="222"/>
      <c r="E490" s="223"/>
      <c r="F490" s="221"/>
      <c r="G490" s="221"/>
      <c r="H490" s="191"/>
      <c r="I490" s="191"/>
      <c r="J490" s="191"/>
      <c r="K490" s="191"/>
      <c r="L490" s="221"/>
      <c r="M490" s="221"/>
      <c r="N490" s="221"/>
      <c r="O490" s="221"/>
      <c r="P490" s="221"/>
    </row>
    <row r="491" spans="1:16" ht="15">
      <c r="A491" s="217"/>
      <c r="B491" s="218"/>
      <c r="C491" s="221"/>
      <c r="D491" s="222"/>
      <c r="E491" s="223"/>
      <c r="F491" s="221"/>
      <c r="G491" s="221"/>
      <c r="H491" s="191"/>
      <c r="I491" s="191"/>
      <c r="J491" s="191"/>
      <c r="K491" s="191"/>
      <c r="L491" s="221"/>
      <c r="M491" s="221"/>
      <c r="N491" s="221"/>
      <c r="O491" s="221"/>
      <c r="P491" s="221"/>
    </row>
    <row r="492" spans="1:16" ht="15">
      <c r="A492" s="217"/>
      <c r="B492" s="218"/>
      <c r="C492" s="221"/>
      <c r="D492" s="222"/>
      <c r="E492" s="223"/>
      <c r="F492" s="221"/>
      <c r="G492" s="221"/>
      <c r="H492" s="191"/>
      <c r="I492" s="191"/>
      <c r="J492" s="191"/>
      <c r="K492" s="191"/>
      <c r="L492" s="221"/>
      <c r="M492" s="221"/>
      <c r="N492" s="221"/>
      <c r="O492" s="221"/>
      <c r="P492" s="221"/>
    </row>
    <row r="493" spans="1:16" ht="15">
      <c r="A493" s="217"/>
      <c r="B493" s="218"/>
      <c r="C493" s="221"/>
      <c r="D493" s="222"/>
      <c r="E493" s="223"/>
      <c r="F493" s="221"/>
      <c r="G493" s="221"/>
      <c r="H493" s="191"/>
      <c r="I493" s="191"/>
      <c r="J493" s="191"/>
      <c r="K493" s="191"/>
      <c r="L493" s="221"/>
      <c r="M493" s="221"/>
      <c r="N493" s="221"/>
      <c r="O493" s="221"/>
      <c r="P493" s="221"/>
    </row>
    <row r="494" spans="1:16" ht="15">
      <c r="A494" s="217"/>
      <c r="B494" s="218"/>
      <c r="C494" s="221"/>
      <c r="D494" s="222"/>
      <c r="E494" s="223"/>
      <c r="F494" s="221"/>
      <c r="G494" s="221"/>
      <c r="H494" s="191"/>
      <c r="I494" s="191"/>
      <c r="J494" s="191"/>
      <c r="K494" s="191"/>
      <c r="L494" s="221"/>
      <c r="M494" s="221"/>
      <c r="N494" s="221"/>
      <c r="O494" s="221"/>
      <c r="P494" s="221"/>
    </row>
    <row r="495" spans="1:16" ht="15">
      <c r="A495" s="217"/>
      <c r="B495" s="218"/>
      <c r="C495" s="221"/>
      <c r="D495" s="222"/>
      <c r="E495" s="223"/>
      <c r="F495" s="221"/>
      <c r="G495" s="221"/>
      <c r="H495" s="191"/>
      <c r="I495" s="191"/>
      <c r="J495" s="191"/>
      <c r="K495" s="191"/>
      <c r="L495" s="221"/>
      <c r="M495" s="221"/>
      <c r="N495" s="221"/>
      <c r="O495" s="221"/>
      <c r="P495" s="221"/>
    </row>
    <row r="496" spans="1:16" ht="15">
      <c r="A496" s="217"/>
      <c r="B496" s="218"/>
      <c r="C496" s="221"/>
      <c r="D496" s="222"/>
      <c r="E496" s="223"/>
      <c r="F496" s="221"/>
      <c r="G496" s="221"/>
      <c r="H496" s="191"/>
      <c r="I496" s="191"/>
      <c r="J496" s="191"/>
      <c r="K496" s="191"/>
      <c r="L496" s="221"/>
      <c r="M496" s="221"/>
      <c r="N496" s="221"/>
      <c r="O496" s="221"/>
      <c r="P496" s="221"/>
    </row>
    <row r="497" spans="1:16" ht="15">
      <c r="A497" s="217"/>
      <c r="B497" s="218"/>
      <c r="C497" s="221"/>
      <c r="D497" s="222"/>
      <c r="E497" s="223"/>
      <c r="F497" s="221"/>
      <c r="G497" s="221"/>
      <c r="H497" s="191"/>
      <c r="I497" s="191"/>
      <c r="J497" s="191"/>
      <c r="K497" s="191"/>
      <c r="L497" s="221"/>
      <c r="M497" s="221"/>
      <c r="N497" s="221"/>
      <c r="O497" s="221"/>
      <c r="P497" s="221"/>
    </row>
    <row r="498" spans="1:16" ht="15">
      <c r="A498" s="217"/>
      <c r="B498" s="218"/>
      <c r="C498" s="221"/>
      <c r="D498" s="222"/>
      <c r="E498" s="223"/>
      <c r="F498" s="221"/>
      <c r="G498" s="221"/>
      <c r="H498" s="191"/>
      <c r="I498" s="191"/>
      <c r="J498" s="191"/>
      <c r="K498" s="191"/>
      <c r="L498" s="221"/>
      <c r="M498" s="221"/>
      <c r="N498" s="221"/>
      <c r="O498" s="221"/>
      <c r="P498" s="221"/>
    </row>
    <row r="499" spans="1:16" ht="15">
      <c r="A499" s="217"/>
      <c r="B499" s="218"/>
      <c r="C499" s="221"/>
      <c r="D499" s="222"/>
      <c r="E499" s="223"/>
      <c r="F499" s="221"/>
      <c r="G499" s="221"/>
      <c r="H499" s="191"/>
      <c r="I499" s="191"/>
      <c r="J499" s="191"/>
      <c r="K499" s="191"/>
      <c r="L499" s="221"/>
      <c r="M499" s="221"/>
      <c r="N499" s="221"/>
      <c r="O499" s="221"/>
      <c r="P499" s="221"/>
    </row>
    <row r="500" spans="1:16" ht="15">
      <c r="A500" s="217"/>
      <c r="B500" s="218"/>
      <c r="C500" s="221"/>
      <c r="D500" s="222"/>
      <c r="E500" s="223"/>
      <c r="F500" s="221"/>
      <c r="G500" s="221"/>
      <c r="H500" s="191"/>
      <c r="I500" s="191"/>
      <c r="J500" s="191"/>
      <c r="K500" s="191"/>
      <c r="L500" s="221"/>
      <c r="M500" s="221"/>
      <c r="N500" s="221"/>
      <c r="O500" s="221"/>
      <c r="P500" s="221"/>
    </row>
    <row r="501" spans="1:16" ht="15">
      <c r="A501" s="217"/>
      <c r="B501" s="218"/>
      <c r="C501" s="221"/>
      <c r="D501" s="222"/>
      <c r="E501" s="223"/>
      <c r="F501" s="221"/>
      <c r="G501" s="221"/>
      <c r="H501" s="191"/>
      <c r="I501" s="191"/>
      <c r="J501" s="191"/>
      <c r="K501" s="191"/>
      <c r="L501" s="221"/>
      <c r="M501" s="221"/>
      <c r="N501" s="221"/>
      <c r="O501" s="221"/>
      <c r="P501" s="221"/>
    </row>
    <row r="502" spans="1:16" ht="15">
      <c r="A502" s="217"/>
      <c r="B502" s="218"/>
      <c r="C502" s="221"/>
      <c r="D502" s="222"/>
      <c r="E502" s="223"/>
      <c r="F502" s="221"/>
      <c r="G502" s="221"/>
      <c r="H502" s="191"/>
      <c r="I502" s="191"/>
      <c r="J502" s="191"/>
      <c r="K502" s="191"/>
      <c r="L502" s="221"/>
      <c r="M502" s="221"/>
      <c r="N502" s="221"/>
      <c r="O502" s="221"/>
      <c r="P502" s="221"/>
    </row>
    <row r="503" spans="1:16" ht="15">
      <c r="A503" s="217"/>
      <c r="B503" s="218"/>
      <c r="C503" s="221"/>
      <c r="D503" s="222"/>
      <c r="E503" s="223"/>
      <c r="F503" s="221"/>
      <c r="G503" s="221"/>
      <c r="H503" s="191"/>
      <c r="I503" s="191"/>
      <c r="J503" s="191"/>
      <c r="K503" s="191"/>
      <c r="L503" s="221"/>
      <c r="M503" s="221"/>
      <c r="N503" s="221"/>
      <c r="O503" s="221"/>
      <c r="P503" s="221"/>
    </row>
    <row r="504" spans="1:16" ht="15">
      <c r="A504" s="217"/>
      <c r="B504" s="218"/>
      <c r="C504" s="221"/>
      <c r="D504" s="222"/>
      <c r="E504" s="223"/>
      <c r="F504" s="221"/>
      <c r="G504" s="221"/>
      <c r="H504" s="191"/>
      <c r="I504" s="191"/>
      <c r="J504" s="191"/>
      <c r="K504" s="191"/>
      <c r="L504" s="221"/>
      <c r="M504" s="221"/>
      <c r="N504" s="221"/>
      <c r="O504" s="221"/>
      <c r="P504" s="221"/>
    </row>
    <row r="505" spans="1:16" ht="15">
      <c r="A505" s="217"/>
      <c r="B505" s="218"/>
      <c r="C505" s="221"/>
      <c r="D505" s="222"/>
      <c r="E505" s="223"/>
      <c r="F505" s="221"/>
      <c r="G505" s="221"/>
      <c r="H505" s="191"/>
      <c r="I505" s="191"/>
      <c r="J505" s="191"/>
      <c r="K505" s="191"/>
      <c r="L505" s="221"/>
      <c r="M505" s="221"/>
      <c r="N505" s="221"/>
      <c r="O505" s="221"/>
      <c r="P505" s="221"/>
    </row>
    <row r="506" spans="1:16" ht="15">
      <c r="A506" s="217"/>
      <c r="B506" s="218"/>
      <c r="C506" s="221"/>
      <c r="D506" s="222"/>
      <c r="E506" s="223"/>
      <c r="F506" s="221"/>
      <c r="G506" s="221"/>
      <c r="H506" s="191"/>
      <c r="I506" s="191"/>
      <c r="J506" s="191"/>
      <c r="K506" s="191"/>
      <c r="L506" s="221"/>
      <c r="M506" s="221"/>
      <c r="N506" s="221"/>
      <c r="O506" s="221"/>
      <c r="P506" s="221"/>
    </row>
    <row r="507" spans="1:16" ht="15">
      <c r="A507" s="217"/>
      <c r="B507" s="218"/>
      <c r="C507" s="221"/>
      <c r="D507" s="222"/>
      <c r="E507" s="223"/>
      <c r="F507" s="221"/>
      <c r="G507" s="221"/>
      <c r="H507" s="191"/>
      <c r="I507" s="191"/>
      <c r="J507" s="191"/>
      <c r="K507" s="191"/>
      <c r="L507" s="221"/>
      <c r="M507" s="221"/>
      <c r="N507" s="221"/>
      <c r="O507" s="221"/>
      <c r="P507" s="221"/>
    </row>
    <row r="508" spans="1:16" ht="15">
      <c r="A508" s="217"/>
      <c r="B508" s="218"/>
      <c r="C508" s="221"/>
      <c r="D508" s="222"/>
      <c r="E508" s="223"/>
      <c r="F508" s="221"/>
      <c r="G508" s="221"/>
      <c r="H508" s="191"/>
      <c r="I508" s="191"/>
      <c r="J508" s="191"/>
      <c r="K508" s="191"/>
      <c r="L508" s="221"/>
      <c r="M508" s="221"/>
      <c r="N508" s="221"/>
      <c r="O508" s="221"/>
      <c r="P508" s="221"/>
    </row>
    <row r="509" spans="1:16" ht="15">
      <c r="A509" s="217"/>
      <c r="B509" s="218"/>
      <c r="C509" s="221"/>
      <c r="D509" s="222"/>
      <c r="E509" s="223"/>
      <c r="F509" s="221"/>
      <c r="G509" s="221"/>
      <c r="H509" s="191"/>
      <c r="I509" s="191"/>
      <c r="J509" s="191"/>
      <c r="K509" s="191"/>
      <c r="L509" s="221"/>
      <c r="M509" s="221"/>
      <c r="N509" s="221"/>
      <c r="O509" s="221"/>
      <c r="P509" s="221"/>
    </row>
    <row r="510" spans="1:16" ht="15">
      <c r="A510" s="217"/>
      <c r="B510" s="218"/>
      <c r="C510" s="221"/>
      <c r="D510" s="222"/>
      <c r="E510" s="223"/>
      <c r="F510" s="221"/>
      <c r="G510" s="221"/>
      <c r="H510" s="191"/>
      <c r="I510" s="191"/>
      <c r="J510" s="191"/>
      <c r="K510" s="191"/>
      <c r="L510" s="221"/>
      <c r="M510" s="221"/>
      <c r="N510" s="221"/>
      <c r="O510" s="221"/>
      <c r="P510" s="221"/>
    </row>
    <row r="511" spans="1:16" ht="15">
      <c r="A511" s="217"/>
      <c r="B511" s="218"/>
      <c r="C511" s="221"/>
      <c r="D511" s="222"/>
      <c r="E511" s="223"/>
      <c r="F511" s="221"/>
      <c r="G511" s="221"/>
      <c r="H511" s="191"/>
      <c r="I511" s="191"/>
      <c r="J511" s="191"/>
      <c r="K511" s="191"/>
      <c r="L511" s="221"/>
      <c r="M511" s="221"/>
      <c r="N511" s="221"/>
      <c r="O511" s="221"/>
      <c r="P511" s="221"/>
    </row>
    <row r="512" spans="1:16" ht="15">
      <c r="A512" s="217"/>
      <c r="B512" s="218"/>
      <c r="C512" s="221"/>
      <c r="D512" s="222"/>
      <c r="E512" s="223"/>
      <c r="F512" s="221"/>
      <c r="G512" s="221"/>
      <c r="H512" s="191"/>
      <c r="I512" s="191"/>
      <c r="J512" s="191"/>
      <c r="K512" s="191"/>
      <c r="L512" s="221"/>
      <c r="M512" s="221"/>
      <c r="N512" s="221"/>
      <c r="O512" s="221"/>
      <c r="P512" s="221"/>
    </row>
    <row r="513" spans="1:16" ht="15">
      <c r="A513" s="217"/>
      <c r="B513" s="218"/>
      <c r="C513" s="221"/>
      <c r="D513" s="222"/>
      <c r="E513" s="223"/>
      <c r="F513" s="221"/>
      <c r="G513" s="221"/>
      <c r="H513" s="191"/>
      <c r="I513" s="191"/>
      <c r="J513" s="191"/>
      <c r="K513" s="191"/>
      <c r="L513" s="221"/>
      <c r="M513" s="221"/>
      <c r="N513" s="221"/>
      <c r="O513" s="221"/>
      <c r="P513" s="221"/>
    </row>
    <row r="514" spans="1:16" ht="15">
      <c r="A514" s="217"/>
      <c r="B514" s="218"/>
      <c r="C514" s="221"/>
      <c r="D514" s="222"/>
      <c r="E514" s="223"/>
      <c r="F514" s="221"/>
      <c r="G514" s="221"/>
      <c r="H514" s="191"/>
      <c r="I514" s="191"/>
      <c r="J514" s="191"/>
      <c r="K514" s="191"/>
      <c r="L514" s="221"/>
      <c r="M514" s="221"/>
      <c r="N514" s="221"/>
      <c r="O514" s="221"/>
      <c r="P514" s="221"/>
    </row>
    <row r="515" spans="1:16" ht="15">
      <c r="A515" s="217"/>
      <c r="B515" s="218"/>
      <c r="C515" s="221"/>
      <c r="D515" s="222"/>
      <c r="E515" s="223"/>
      <c r="F515" s="221"/>
      <c r="G515" s="221"/>
      <c r="H515" s="191"/>
      <c r="I515" s="191"/>
      <c r="J515" s="191"/>
      <c r="K515" s="191"/>
      <c r="L515" s="221"/>
      <c r="M515" s="221"/>
      <c r="N515" s="221"/>
      <c r="O515" s="221"/>
      <c r="P515" s="221"/>
    </row>
    <row r="516" spans="1:16" ht="15">
      <c r="A516" s="217"/>
      <c r="B516" s="218"/>
      <c r="C516" s="221"/>
      <c r="D516" s="222"/>
      <c r="E516" s="223"/>
      <c r="F516" s="221"/>
      <c r="G516" s="221"/>
      <c r="H516" s="191"/>
      <c r="I516" s="191"/>
      <c r="J516" s="191"/>
      <c r="K516" s="191"/>
      <c r="L516" s="221"/>
      <c r="M516" s="221"/>
      <c r="N516" s="221"/>
      <c r="O516" s="221"/>
      <c r="P516" s="221"/>
    </row>
    <row r="517" spans="1:16" ht="15">
      <c r="A517" s="217"/>
      <c r="B517" s="218"/>
      <c r="C517" s="221"/>
      <c r="D517" s="222"/>
      <c r="E517" s="223"/>
      <c r="F517" s="221"/>
      <c r="G517" s="221"/>
      <c r="H517" s="191"/>
      <c r="I517" s="191"/>
      <c r="J517" s="191"/>
      <c r="K517" s="191"/>
      <c r="L517" s="221"/>
      <c r="M517" s="221"/>
      <c r="N517" s="221"/>
      <c r="O517" s="221"/>
      <c r="P517" s="221"/>
    </row>
    <row r="518" spans="1:16" ht="15">
      <c r="A518" s="217"/>
      <c r="B518" s="218"/>
      <c r="C518" s="221"/>
      <c r="D518" s="222"/>
      <c r="E518" s="223"/>
      <c r="F518" s="221"/>
      <c r="G518" s="221"/>
      <c r="H518" s="191"/>
      <c r="I518" s="191"/>
      <c r="J518" s="191"/>
      <c r="K518" s="191"/>
      <c r="L518" s="221"/>
      <c r="M518" s="221"/>
      <c r="N518" s="221"/>
      <c r="O518" s="221"/>
      <c r="P518" s="221"/>
    </row>
    <row r="519" spans="1:16" ht="15">
      <c r="A519" s="217"/>
      <c r="B519" s="218"/>
      <c r="C519" s="221"/>
      <c r="D519" s="222"/>
      <c r="E519" s="223"/>
      <c r="F519" s="221"/>
      <c r="G519" s="221"/>
      <c r="H519" s="191"/>
      <c r="I519" s="191"/>
      <c r="J519" s="191"/>
      <c r="K519" s="191"/>
      <c r="L519" s="221"/>
      <c r="M519" s="221"/>
      <c r="N519" s="221"/>
      <c r="O519" s="221"/>
      <c r="P519" s="221"/>
    </row>
    <row r="520" spans="1:16" ht="15">
      <c r="A520" s="217"/>
      <c r="B520" s="218"/>
      <c r="C520" s="221"/>
      <c r="D520" s="222"/>
      <c r="E520" s="223"/>
      <c r="F520" s="221"/>
      <c r="G520" s="221"/>
      <c r="H520" s="191"/>
      <c r="I520" s="191"/>
      <c r="J520" s="191"/>
      <c r="K520" s="191"/>
      <c r="L520" s="221"/>
      <c r="M520" s="221"/>
      <c r="N520" s="221"/>
      <c r="O520" s="221"/>
      <c r="P520" s="221"/>
    </row>
    <row r="521" spans="1:16" ht="15">
      <c r="A521" s="217"/>
      <c r="B521" s="218"/>
      <c r="C521" s="221"/>
      <c r="D521" s="222"/>
      <c r="E521" s="223"/>
      <c r="F521" s="221"/>
      <c r="G521" s="221"/>
      <c r="H521" s="191"/>
      <c r="I521" s="191"/>
      <c r="J521" s="191"/>
      <c r="K521" s="191"/>
      <c r="L521" s="221"/>
      <c r="M521" s="221"/>
      <c r="N521" s="221"/>
      <c r="O521" s="221"/>
      <c r="P521" s="221"/>
    </row>
    <row r="522" spans="1:16" ht="15">
      <c r="A522" s="217"/>
      <c r="B522" s="218"/>
      <c r="C522" s="221"/>
      <c r="D522" s="222"/>
      <c r="E522" s="223"/>
      <c r="F522" s="221"/>
      <c r="G522" s="221"/>
      <c r="H522" s="191"/>
      <c r="I522" s="191"/>
      <c r="J522" s="191"/>
      <c r="K522" s="191"/>
      <c r="L522" s="221"/>
      <c r="M522" s="221"/>
      <c r="N522" s="221"/>
      <c r="O522" s="221"/>
      <c r="P522" s="221"/>
    </row>
    <row r="523" spans="1:16" ht="15">
      <c r="A523" s="217"/>
      <c r="B523" s="218"/>
      <c r="C523" s="221"/>
      <c r="D523" s="222"/>
      <c r="E523" s="223"/>
      <c r="F523" s="221"/>
      <c r="G523" s="221"/>
      <c r="H523" s="191"/>
      <c r="I523" s="191"/>
      <c r="J523" s="191"/>
      <c r="K523" s="191"/>
      <c r="L523" s="221"/>
      <c r="M523" s="221"/>
      <c r="N523" s="221"/>
      <c r="O523" s="221"/>
      <c r="P523" s="221"/>
    </row>
    <row r="524" spans="1:16" ht="15">
      <c r="A524" s="217"/>
      <c r="B524" s="218"/>
      <c r="C524" s="221"/>
      <c r="D524" s="222"/>
      <c r="E524" s="223"/>
      <c r="F524" s="221"/>
      <c r="G524" s="221"/>
      <c r="H524" s="191"/>
      <c r="I524" s="191"/>
      <c r="J524" s="191"/>
      <c r="K524" s="191"/>
      <c r="L524" s="221"/>
      <c r="M524" s="221"/>
      <c r="N524" s="221"/>
      <c r="O524" s="221"/>
      <c r="P524" s="221"/>
    </row>
    <row r="525" spans="1:16" ht="15">
      <c r="A525" s="217"/>
      <c r="B525" s="218"/>
      <c r="C525" s="221"/>
      <c r="D525" s="222"/>
      <c r="E525" s="223"/>
      <c r="F525" s="221"/>
      <c r="G525" s="221"/>
      <c r="H525" s="191"/>
      <c r="I525" s="191"/>
      <c r="J525" s="191"/>
      <c r="K525" s="191"/>
      <c r="L525" s="221"/>
      <c r="M525" s="221"/>
      <c r="N525" s="221"/>
      <c r="O525" s="221"/>
      <c r="P525" s="221"/>
    </row>
    <row r="526" spans="1:16" ht="15">
      <c r="A526" s="217"/>
      <c r="B526" s="218"/>
      <c r="C526" s="221"/>
      <c r="D526" s="222"/>
      <c r="E526" s="223"/>
      <c r="F526" s="221"/>
      <c r="G526" s="221"/>
      <c r="H526" s="191"/>
      <c r="I526" s="191"/>
      <c r="J526" s="191"/>
      <c r="K526" s="191"/>
      <c r="L526" s="221"/>
      <c r="M526" s="221"/>
      <c r="N526" s="221"/>
      <c r="O526" s="221"/>
      <c r="P526" s="221"/>
    </row>
    <row r="527" spans="1:16" ht="15">
      <c r="A527" s="217"/>
      <c r="B527" s="218"/>
      <c r="C527" s="221"/>
      <c r="D527" s="222"/>
      <c r="E527" s="223"/>
      <c r="F527" s="221"/>
      <c r="G527" s="221"/>
      <c r="H527" s="191"/>
      <c r="I527" s="191"/>
      <c r="J527" s="191"/>
      <c r="K527" s="191"/>
      <c r="L527" s="221"/>
      <c r="M527" s="221"/>
      <c r="N527" s="221"/>
      <c r="O527" s="221"/>
      <c r="P527" s="221"/>
    </row>
    <row r="528" spans="1:16" ht="15">
      <c r="A528" s="217"/>
      <c r="B528" s="218"/>
      <c r="C528" s="221"/>
      <c r="D528" s="222"/>
      <c r="E528" s="223"/>
      <c r="F528" s="221"/>
      <c r="G528" s="221"/>
      <c r="H528" s="191"/>
      <c r="I528" s="191"/>
      <c r="J528" s="191"/>
      <c r="K528" s="191"/>
      <c r="L528" s="221"/>
      <c r="M528" s="221"/>
      <c r="N528" s="221"/>
      <c r="O528" s="221"/>
      <c r="P528" s="221"/>
    </row>
    <row r="529" spans="1:16" ht="15">
      <c r="A529" s="217"/>
      <c r="B529" s="218"/>
      <c r="C529" s="221"/>
      <c r="D529" s="222"/>
      <c r="E529" s="223"/>
      <c r="F529" s="221"/>
      <c r="G529" s="221"/>
      <c r="H529" s="191"/>
      <c r="I529" s="191"/>
      <c r="J529" s="191"/>
      <c r="K529" s="191"/>
      <c r="L529" s="221"/>
      <c r="M529" s="221"/>
      <c r="N529" s="221"/>
      <c r="O529" s="221"/>
      <c r="P529" s="221"/>
    </row>
    <row r="530" spans="1:16" ht="15">
      <c r="A530" s="217"/>
      <c r="B530" s="218"/>
      <c r="C530" s="221"/>
      <c r="D530" s="222"/>
      <c r="E530" s="223"/>
      <c r="F530" s="221"/>
      <c r="G530" s="221"/>
      <c r="H530" s="191"/>
      <c r="I530" s="191"/>
      <c r="J530" s="191"/>
      <c r="K530" s="191"/>
      <c r="L530" s="221"/>
      <c r="M530" s="221"/>
      <c r="N530" s="221"/>
      <c r="O530" s="221"/>
      <c r="P530" s="221"/>
    </row>
    <row r="531" spans="1:16" ht="15">
      <c r="A531" s="217"/>
      <c r="B531" s="218"/>
      <c r="C531" s="221"/>
      <c r="D531" s="222"/>
      <c r="E531" s="223"/>
      <c r="F531" s="221"/>
      <c r="G531" s="221"/>
      <c r="H531" s="191"/>
      <c r="I531" s="191"/>
      <c r="J531" s="191"/>
      <c r="K531" s="191"/>
      <c r="L531" s="221"/>
      <c r="M531" s="221"/>
      <c r="N531" s="221"/>
      <c r="O531" s="221"/>
      <c r="P531" s="221"/>
    </row>
    <row r="532" spans="1:16" ht="15">
      <c r="A532" s="217"/>
      <c r="B532" s="218"/>
      <c r="C532" s="221"/>
      <c r="D532" s="222"/>
      <c r="E532" s="223"/>
      <c r="F532" s="221"/>
      <c r="G532" s="221"/>
      <c r="H532" s="191"/>
      <c r="I532" s="191"/>
      <c r="J532" s="191"/>
      <c r="K532" s="191"/>
      <c r="L532" s="221"/>
      <c r="M532" s="221"/>
      <c r="N532" s="221"/>
      <c r="O532" s="221"/>
      <c r="P532" s="221"/>
    </row>
    <row r="533" spans="1:16" ht="15">
      <c r="A533" s="217"/>
      <c r="B533" s="218"/>
      <c r="C533" s="221"/>
      <c r="D533" s="222"/>
      <c r="E533" s="223"/>
      <c r="F533" s="221"/>
      <c r="G533" s="221"/>
      <c r="H533" s="191"/>
      <c r="I533" s="191"/>
      <c r="J533" s="191"/>
      <c r="K533" s="191"/>
      <c r="L533" s="221"/>
      <c r="M533" s="221"/>
      <c r="N533" s="221"/>
      <c r="O533" s="221"/>
      <c r="P533" s="221"/>
    </row>
    <row r="534" spans="1:16" ht="15">
      <c r="A534" s="217"/>
      <c r="B534" s="218"/>
      <c r="C534" s="221"/>
      <c r="D534" s="222"/>
      <c r="E534" s="223"/>
      <c r="F534" s="221"/>
      <c r="G534" s="221"/>
      <c r="H534" s="191"/>
      <c r="I534" s="191"/>
      <c r="J534" s="191"/>
      <c r="K534" s="191"/>
      <c r="L534" s="221"/>
      <c r="M534" s="221"/>
      <c r="N534" s="221"/>
      <c r="O534" s="221"/>
      <c r="P534" s="221"/>
    </row>
    <row r="535" spans="1:16" ht="15">
      <c r="A535" s="217"/>
      <c r="B535" s="218"/>
      <c r="C535" s="221"/>
      <c r="D535" s="222"/>
      <c r="E535" s="223"/>
      <c r="F535" s="221"/>
      <c r="G535" s="221"/>
      <c r="H535" s="191"/>
      <c r="I535" s="191"/>
      <c r="J535" s="191"/>
      <c r="K535" s="191"/>
      <c r="L535" s="221"/>
      <c r="M535" s="221"/>
      <c r="N535" s="221"/>
      <c r="O535" s="221"/>
      <c r="P535" s="221"/>
    </row>
    <row r="536" spans="1:16" ht="15">
      <c r="A536" s="217"/>
      <c r="B536" s="218"/>
      <c r="C536" s="221"/>
      <c r="D536" s="222"/>
      <c r="E536" s="223"/>
      <c r="F536" s="221"/>
      <c r="G536" s="221"/>
      <c r="H536" s="191"/>
      <c r="I536" s="191"/>
      <c r="J536" s="191"/>
      <c r="K536" s="191"/>
      <c r="L536" s="221"/>
      <c r="M536" s="221"/>
      <c r="N536" s="221"/>
      <c r="O536" s="221"/>
      <c r="P536" s="221"/>
    </row>
    <row r="537" spans="1:16" ht="15">
      <c r="A537" s="217"/>
      <c r="B537" s="218"/>
      <c r="C537" s="221"/>
      <c r="D537" s="222"/>
      <c r="E537" s="223"/>
      <c r="F537" s="221"/>
      <c r="G537" s="221"/>
      <c r="H537" s="191"/>
      <c r="I537" s="191"/>
      <c r="J537" s="191"/>
      <c r="K537" s="191"/>
      <c r="L537" s="221"/>
      <c r="M537" s="221"/>
      <c r="N537" s="221"/>
      <c r="O537" s="221"/>
      <c r="P537" s="221"/>
    </row>
    <row r="538" spans="1:16" ht="15">
      <c r="A538" s="217"/>
      <c r="B538" s="218"/>
      <c r="C538" s="221"/>
      <c r="D538" s="222"/>
      <c r="E538" s="223"/>
      <c r="F538" s="221"/>
      <c r="G538" s="221"/>
      <c r="H538" s="191"/>
      <c r="I538" s="191"/>
      <c r="J538" s="191"/>
      <c r="K538" s="191"/>
      <c r="L538" s="221"/>
      <c r="M538" s="221"/>
      <c r="N538" s="221"/>
      <c r="O538" s="221"/>
      <c r="P538" s="221"/>
    </row>
    <row r="539" spans="1:16" ht="15">
      <c r="A539" s="217"/>
      <c r="B539" s="218"/>
      <c r="C539" s="221"/>
      <c r="D539" s="222"/>
      <c r="E539" s="223"/>
      <c r="F539" s="221"/>
      <c r="G539" s="221"/>
      <c r="H539" s="191"/>
      <c r="I539" s="191"/>
      <c r="J539" s="191"/>
      <c r="K539" s="191"/>
      <c r="L539" s="221"/>
      <c r="M539" s="221"/>
      <c r="N539" s="221"/>
      <c r="O539" s="221"/>
      <c r="P539" s="221"/>
    </row>
    <row r="540" spans="1:16" ht="15">
      <c r="A540" s="217"/>
      <c r="B540" s="218"/>
      <c r="C540" s="221"/>
      <c r="D540" s="222"/>
      <c r="E540" s="223"/>
      <c r="F540" s="221"/>
      <c r="G540" s="221"/>
      <c r="H540" s="191"/>
      <c r="I540" s="191"/>
      <c r="J540" s="191"/>
      <c r="K540" s="191"/>
      <c r="L540" s="221"/>
      <c r="M540" s="221"/>
      <c r="N540" s="221"/>
      <c r="O540" s="221"/>
      <c r="P540" s="221"/>
    </row>
    <row r="541" spans="1:16" ht="15">
      <c r="A541" s="217"/>
      <c r="B541" s="218"/>
      <c r="C541" s="221"/>
      <c r="D541" s="222"/>
      <c r="E541" s="223"/>
      <c r="F541" s="221"/>
      <c r="G541" s="221"/>
      <c r="H541" s="191"/>
      <c r="I541" s="191"/>
      <c r="J541" s="191"/>
      <c r="K541" s="191"/>
      <c r="L541" s="221"/>
      <c r="M541" s="221"/>
      <c r="N541" s="221"/>
      <c r="O541" s="221"/>
      <c r="P541" s="221"/>
    </row>
    <row r="542" spans="1:16" ht="15">
      <c r="A542" s="217"/>
      <c r="B542" s="218"/>
      <c r="C542" s="221"/>
      <c r="D542" s="222"/>
      <c r="E542" s="223"/>
      <c r="F542" s="221"/>
      <c r="G542" s="221"/>
      <c r="H542" s="191"/>
      <c r="I542" s="191"/>
      <c r="J542" s="191"/>
      <c r="K542" s="191"/>
      <c r="L542" s="221"/>
      <c r="M542" s="221"/>
      <c r="N542" s="221"/>
      <c r="O542" s="221"/>
      <c r="P542" s="221"/>
    </row>
    <row r="543" spans="1:16" ht="15">
      <c r="A543" s="217"/>
      <c r="B543" s="218"/>
      <c r="C543" s="221"/>
      <c r="D543" s="222"/>
      <c r="E543" s="223"/>
      <c r="F543" s="221"/>
      <c r="G543" s="221"/>
      <c r="H543" s="191"/>
      <c r="I543" s="191"/>
      <c r="J543" s="191"/>
      <c r="K543" s="191"/>
      <c r="L543" s="221"/>
      <c r="M543" s="221"/>
      <c r="N543" s="221"/>
      <c r="O543" s="221"/>
      <c r="P543" s="221"/>
    </row>
    <row r="544" spans="1:16" ht="15">
      <c r="A544" s="217"/>
      <c r="B544" s="218"/>
      <c r="C544" s="221"/>
      <c r="D544" s="222"/>
      <c r="E544" s="223"/>
      <c r="F544" s="221"/>
      <c r="G544" s="221"/>
      <c r="H544" s="191"/>
      <c r="I544" s="191"/>
      <c r="J544" s="191"/>
      <c r="K544" s="191"/>
      <c r="L544" s="221"/>
      <c r="M544" s="221"/>
      <c r="N544" s="221"/>
      <c r="O544" s="221"/>
      <c r="P544" s="221"/>
    </row>
    <row r="545" spans="1:16" ht="15">
      <c r="A545" s="217"/>
      <c r="B545" s="218"/>
      <c r="C545" s="221"/>
      <c r="D545" s="222"/>
      <c r="E545" s="223"/>
      <c r="F545" s="221"/>
      <c r="G545" s="221"/>
      <c r="H545" s="191"/>
      <c r="I545" s="191"/>
      <c r="J545" s="191"/>
      <c r="K545" s="191"/>
      <c r="L545" s="221"/>
      <c r="M545" s="221"/>
      <c r="N545" s="221"/>
      <c r="O545" s="221"/>
      <c r="P545" s="221"/>
    </row>
    <row r="546" spans="1:16" ht="15">
      <c r="A546" s="217"/>
      <c r="B546" s="218"/>
      <c r="C546" s="221"/>
      <c r="D546" s="222"/>
      <c r="E546" s="223"/>
      <c r="F546" s="221"/>
      <c r="G546" s="221"/>
      <c r="H546" s="191"/>
      <c r="I546" s="191"/>
      <c r="J546" s="191"/>
      <c r="K546" s="191"/>
      <c r="L546" s="221"/>
      <c r="M546" s="221"/>
      <c r="N546" s="221"/>
      <c r="O546" s="221"/>
      <c r="P546" s="221"/>
    </row>
    <row r="547" spans="1:16" ht="15">
      <c r="A547" s="217"/>
      <c r="B547" s="218"/>
      <c r="C547" s="221"/>
      <c r="D547" s="222"/>
      <c r="E547" s="223"/>
      <c r="F547" s="221"/>
      <c r="G547" s="221"/>
      <c r="H547" s="191"/>
      <c r="I547" s="191"/>
      <c r="J547" s="191"/>
      <c r="K547" s="191"/>
      <c r="L547" s="221"/>
      <c r="M547" s="221"/>
      <c r="N547" s="221"/>
      <c r="O547" s="221"/>
      <c r="P547" s="221"/>
    </row>
    <row r="548" spans="1:16" ht="15">
      <c r="A548" s="217"/>
      <c r="B548" s="218"/>
      <c r="C548" s="221"/>
      <c r="D548" s="222"/>
      <c r="E548" s="223"/>
      <c r="F548" s="221"/>
      <c r="G548" s="221"/>
      <c r="H548" s="191"/>
      <c r="I548" s="191"/>
      <c r="J548" s="191"/>
      <c r="K548" s="191"/>
      <c r="L548" s="221"/>
      <c r="M548" s="221"/>
      <c r="N548" s="221"/>
      <c r="O548" s="221"/>
      <c r="P548" s="221"/>
    </row>
    <row r="549" spans="1:16" ht="15">
      <c r="A549" s="217"/>
      <c r="B549" s="218"/>
      <c r="C549" s="221"/>
      <c r="D549" s="222"/>
      <c r="E549" s="223"/>
      <c r="F549" s="221"/>
      <c r="G549" s="221"/>
      <c r="H549" s="191"/>
      <c r="I549" s="191"/>
      <c r="J549" s="191"/>
      <c r="K549" s="191"/>
      <c r="L549" s="221"/>
      <c r="M549" s="221"/>
      <c r="N549" s="221"/>
      <c r="O549" s="221"/>
      <c r="P549" s="221"/>
    </row>
    <row r="550" spans="1:16" ht="15">
      <c r="A550" s="217"/>
      <c r="B550" s="218"/>
      <c r="C550" s="221"/>
      <c r="D550" s="222"/>
      <c r="E550" s="223"/>
      <c r="F550" s="221"/>
      <c r="G550" s="221"/>
      <c r="H550" s="191"/>
      <c r="I550" s="191"/>
      <c r="J550" s="191"/>
      <c r="K550" s="191"/>
      <c r="L550" s="221"/>
      <c r="M550" s="221"/>
      <c r="N550" s="221"/>
      <c r="O550" s="221"/>
      <c r="P550" s="221"/>
    </row>
    <row r="551" spans="1:16" ht="15">
      <c r="A551" s="217"/>
      <c r="B551" s="218"/>
      <c r="C551" s="221"/>
      <c r="D551" s="222"/>
      <c r="E551" s="223"/>
      <c r="F551" s="221"/>
      <c r="G551" s="221"/>
      <c r="H551" s="191"/>
      <c r="I551" s="191"/>
      <c r="J551" s="191"/>
      <c r="K551" s="191"/>
      <c r="L551" s="221"/>
      <c r="M551" s="221"/>
      <c r="N551" s="221"/>
      <c r="O551" s="221"/>
      <c r="P551" s="221"/>
    </row>
    <row r="552" spans="1:16" ht="15">
      <c r="A552" s="217"/>
      <c r="B552" s="218"/>
      <c r="C552" s="221"/>
      <c r="D552" s="222"/>
      <c r="E552" s="223"/>
      <c r="F552" s="221"/>
      <c r="G552" s="221"/>
      <c r="H552" s="191"/>
      <c r="I552" s="191"/>
      <c r="J552" s="191"/>
      <c r="K552" s="191"/>
      <c r="L552" s="221"/>
      <c r="M552" s="221"/>
      <c r="N552" s="221"/>
      <c r="O552" s="221"/>
      <c r="P552" s="221"/>
    </row>
    <row r="553" spans="1:16" ht="15">
      <c r="A553" s="217"/>
      <c r="B553" s="218"/>
      <c r="C553" s="221"/>
      <c r="D553" s="222"/>
      <c r="E553" s="223"/>
      <c r="F553" s="221"/>
      <c r="G553" s="221"/>
      <c r="H553" s="191"/>
      <c r="I553" s="191"/>
      <c r="J553" s="191"/>
      <c r="K553" s="191"/>
      <c r="L553" s="221"/>
      <c r="M553" s="221"/>
      <c r="N553" s="221"/>
      <c r="O553" s="221"/>
      <c r="P553" s="221"/>
    </row>
    <row r="554" spans="1:16" ht="15">
      <c r="A554" s="217"/>
      <c r="B554" s="218"/>
      <c r="C554" s="221"/>
      <c r="D554" s="222"/>
      <c r="E554" s="223"/>
      <c r="F554" s="221"/>
      <c r="G554" s="221"/>
      <c r="H554" s="191"/>
      <c r="I554" s="191"/>
      <c r="J554" s="191"/>
      <c r="K554" s="191"/>
      <c r="L554" s="221"/>
      <c r="M554" s="221"/>
      <c r="N554" s="221"/>
      <c r="O554" s="221"/>
      <c r="P554" s="221"/>
    </row>
    <row r="555" spans="1:16" ht="15">
      <c r="A555" s="217"/>
      <c r="B555" s="218"/>
      <c r="C555" s="221"/>
      <c r="D555" s="222"/>
      <c r="E555" s="223"/>
      <c r="F555" s="221"/>
      <c r="G555" s="221"/>
      <c r="H555" s="191"/>
      <c r="I555" s="191"/>
      <c r="J555" s="191"/>
      <c r="K555" s="191"/>
      <c r="L555" s="221"/>
      <c r="M555" s="221"/>
      <c r="N555" s="221"/>
      <c r="O555" s="221"/>
      <c r="P555" s="221"/>
    </row>
    <row r="556" spans="1:16" ht="15">
      <c r="A556" s="217"/>
      <c r="B556" s="218"/>
      <c r="C556" s="221"/>
      <c r="D556" s="222"/>
      <c r="E556" s="223"/>
      <c r="F556" s="221"/>
      <c r="G556" s="221"/>
      <c r="H556" s="191"/>
      <c r="I556" s="191"/>
      <c r="J556" s="191"/>
      <c r="K556" s="191"/>
      <c r="L556" s="221"/>
      <c r="M556" s="221"/>
      <c r="N556" s="221"/>
      <c r="O556" s="221"/>
      <c r="P556" s="221"/>
    </row>
    <row r="557" spans="1:16" ht="15">
      <c r="A557" s="217"/>
      <c r="B557" s="218"/>
      <c r="C557" s="221"/>
      <c r="D557" s="222"/>
      <c r="E557" s="223"/>
      <c r="F557" s="221"/>
      <c r="G557" s="221"/>
      <c r="H557" s="191"/>
      <c r="I557" s="191"/>
      <c r="J557" s="191"/>
      <c r="K557" s="191"/>
      <c r="L557" s="221"/>
      <c r="M557" s="221"/>
      <c r="N557" s="221"/>
      <c r="O557" s="221"/>
      <c r="P557" s="221"/>
    </row>
    <row r="558" spans="1:16" ht="15">
      <c r="A558" s="217"/>
      <c r="B558" s="218"/>
      <c r="C558" s="221"/>
      <c r="D558" s="222"/>
      <c r="E558" s="223"/>
      <c r="F558" s="221"/>
      <c r="G558" s="221"/>
      <c r="H558" s="191"/>
      <c r="I558" s="191"/>
      <c r="J558" s="191"/>
      <c r="K558" s="191"/>
      <c r="L558" s="221"/>
      <c r="M558" s="221"/>
      <c r="N558" s="221"/>
      <c r="O558" s="221"/>
      <c r="P558" s="221"/>
    </row>
    <row r="559" spans="1:16" ht="15">
      <c r="A559" s="217"/>
      <c r="B559" s="218"/>
      <c r="C559" s="221"/>
      <c r="D559" s="222"/>
      <c r="E559" s="223"/>
      <c r="F559" s="221"/>
      <c r="G559" s="221"/>
      <c r="H559" s="191"/>
      <c r="I559" s="191"/>
      <c r="J559" s="191"/>
      <c r="K559" s="191"/>
      <c r="L559" s="221"/>
      <c r="M559" s="221"/>
      <c r="N559" s="221"/>
      <c r="O559" s="221"/>
      <c r="P559" s="221"/>
    </row>
    <row r="560" spans="1:16" ht="15">
      <c r="A560" s="217"/>
      <c r="B560" s="218"/>
      <c r="C560" s="221"/>
      <c r="D560" s="222"/>
      <c r="E560" s="223"/>
      <c r="F560" s="221"/>
      <c r="G560" s="221"/>
      <c r="H560" s="191"/>
      <c r="I560" s="191"/>
      <c r="J560" s="191"/>
      <c r="K560" s="191"/>
      <c r="L560" s="221"/>
      <c r="M560" s="221"/>
      <c r="N560" s="221"/>
      <c r="O560" s="221"/>
      <c r="P560" s="221"/>
    </row>
    <row r="561" spans="1:16" ht="15">
      <c r="A561" s="217"/>
      <c r="B561" s="218"/>
      <c r="C561" s="221"/>
      <c r="D561" s="222"/>
      <c r="E561" s="223"/>
      <c r="F561" s="221"/>
      <c r="G561" s="221"/>
      <c r="H561" s="191"/>
      <c r="I561" s="191"/>
      <c r="J561" s="191"/>
      <c r="K561" s="191"/>
      <c r="L561" s="221"/>
      <c r="M561" s="221"/>
      <c r="N561" s="221"/>
      <c r="O561" s="221"/>
      <c r="P561" s="221"/>
    </row>
    <row r="562" spans="1:16" ht="15">
      <c r="A562" s="217"/>
      <c r="B562" s="218"/>
      <c r="C562" s="221"/>
      <c r="D562" s="222"/>
      <c r="E562" s="223"/>
      <c r="F562" s="221"/>
      <c r="G562" s="221"/>
      <c r="H562" s="191"/>
      <c r="I562" s="191"/>
      <c r="J562" s="191"/>
      <c r="K562" s="191"/>
      <c r="L562" s="221"/>
      <c r="M562" s="221"/>
      <c r="N562" s="221"/>
      <c r="O562" s="221"/>
      <c r="P562" s="221"/>
    </row>
    <row r="563" spans="1:16" ht="15">
      <c r="A563" s="217"/>
      <c r="B563" s="218"/>
      <c r="C563" s="221"/>
      <c r="D563" s="222"/>
      <c r="E563" s="223"/>
      <c r="F563" s="221"/>
      <c r="G563" s="221"/>
      <c r="H563" s="191"/>
      <c r="I563" s="191"/>
      <c r="J563" s="191"/>
      <c r="K563" s="191"/>
      <c r="L563" s="221"/>
      <c r="M563" s="221"/>
      <c r="N563" s="221"/>
      <c r="O563" s="221"/>
      <c r="P563" s="221"/>
    </row>
    <row r="564" spans="1:16" ht="15">
      <c r="A564" s="217"/>
      <c r="B564" s="218"/>
      <c r="C564" s="221"/>
      <c r="D564" s="222"/>
      <c r="E564" s="223"/>
      <c r="F564" s="221"/>
      <c r="G564" s="221"/>
      <c r="H564" s="191"/>
      <c r="I564" s="191"/>
      <c r="J564" s="191"/>
      <c r="K564" s="191"/>
      <c r="L564" s="221"/>
      <c r="M564" s="221"/>
      <c r="N564" s="221"/>
      <c r="O564" s="221"/>
      <c r="P564" s="221"/>
    </row>
    <row r="565" spans="1:16" ht="15">
      <c r="A565" s="217"/>
      <c r="B565" s="218"/>
      <c r="C565" s="221"/>
      <c r="D565" s="222"/>
      <c r="E565" s="223"/>
      <c r="F565" s="221"/>
      <c r="G565" s="221"/>
      <c r="H565" s="191"/>
      <c r="I565" s="191"/>
      <c r="J565" s="191"/>
      <c r="K565" s="191"/>
      <c r="L565" s="221"/>
      <c r="M565" s="221"/>
      <c r="N565" s="221"/>
      <c r="O565" s="221"/>
      <c r="P565" s="221"/>
    </row>
    <row r="566" spans="1:16" ht="15">
      <c r="A566" s="217"/>
      <c r="B566" s="218"/>
      <c r="C566" s="221"/>
      <c r="D566" s="222"/>
      <c r="E566" s="223"/>
      <c r="F566" s="221"/>
      <c r="G566" s="221"/>
      <c r="H566" s="191"/>
      <c r="I566" s="191"/>
      <c r="J566" s="191"/>
      <c r="K566" s="191"/>
      <c r="L566" s="221"/>
      <c r="M566" s="221"/>
      <c r="N566" s="221"/>
      <c r="O566" s="221"/>
      <c r="P566" s="221"/>
    </row>
    <row r="567" spans="1:16" ht="15">
      <c r="A567" s="217"/>
      <c r="B567" s="218"/>
      <c r="C567" s="221"/>
      <c r="D567" s="222"/>
      <c r="E567" s="223"/>
      <c r="F567" s="221"/>
      <c r="G567" s="221"/>
      <c r="H567" s="191"/>
      <c r="I567" s="191"/>
      <c r="J567" s="191"/>
      <c r="K567" s="191"/>
      <c r="L567" s="221"/>
      <c r="M567" s="221"/>
      <c r="N567" s="221"/>
      <c r="O567" s="221"/>
      <c r="P567" s="221"/>
    </row>
    <row r="568" spans="1:16" ht="15">
      <c r="A568" s="217"/>
      <c r="B568" s="218"/>
      <c r="C568" s="221"/>
      <c r="D568" s="222"/>
      <c r="E568" s="223"/>
      <c r="F568" s="221"/>
      <c r="G568" s="221"/>
      <c r="H568" s="191"/>
      <c r="I568" s="191"/>
      <c r="J568" s="191"/>
      <c r="K568" s="191"/>
      <c r="L568" s="221"/>
      <c r="M568" s="221"/>
      <c r="N568" s="221"/>
      <c r="O568" s="221"/>
      <c r="P568" s="221"/>
    </row>
    <row r="569" spans="1:16" ht="15">
      <c r="A569" s="217"/>
      <c r="B569" s="218"/>
      <c r="C569" s="221"/>
      <c r="D569" s="222"/>
      <c r="E569" s="223"/>
      <c r="F569" s="221"/>
      <c r="G569" s="221"/>
      <c r="H569" s="191"/>
      <c r="I569" s="191"/>
      <c r="J569" s="191"/>
      <c r="K569" s="191"/>
      <c r="L569" s="221"/>
      <c r="M569" s="221"/>
      <c r="N569" s="221"/>
      <c r="O569" s="221"/>
      <c r="P569" s="221"/>
    </row>
    <row r="570" spans="1:16" ht="15">
      <c r="A570" s="217"/>
      <c r="B570" s="218"/>
      <c r="C570" s="221"/>
      <c r="D570" s="222"/>
      <c r="E570" s="223"/>
      <c r="F570" s="221"/>
      <c r="G570" s="221"/>
      <c r="H570" s="191"/>
      <c r="I570" s="191"/>
      <c r="J570" s="191"/>
      <c r="K570" s="191"/>
      <c r="L570" s="221"/>
      <c r="M570" s="221"/>
      <c r="N570" s="221"/>
      <c r="O570" s="221"/>
      <c r="P570" s="221"/>
    </row>
    <row r="571" spans="1:16" ht="15">
      <c r="A571" s="217"/>
      <c r="B571" s="218"/>
      <c r="C571" s="221"/>
      <c r="D571" s="222"/>
      <c r="E571" s="223"/>
      <c r="F571" s="221"/>
      <c r="G571" s="221"/>
      <c r="H571" s="191"/>
      <c r="I571" s="191"/>
      <c r="J571" s="191"/>
      <c r="K571" s="191"/>
      <c r="L571" s="221"/>
      <c r="M571" s="221"/>
      <c r="N571" s="221"/>
      <c r="O571" s="221"/>
      <c r="P571" s="221"/>
    </row>
    <row r="572" spans="1:16" ht="15">
      <c r="A572" s="217"/>
      <c r="B572" s="218"/>
      <c r="C572" s="221"/>
      <c r="D572" s="222"/>
      <c r="E572" s="223"/>
      <c r="F572" s="221"/>
      <c r="G572" s="221"/>
      <c r="H572" s="191"/>
      <c r="I572" s="191"/>
      <c r="J572" s="191"/>
      <c r="K572" s="191"/>
      <c r="L572" s="221"/>
      <c r="M572" s="221"/>
      <c r="N572" s="221"/>
      <c r="O572" s="221"/>
      <c r="P572" s="221"/>
    </row>
    <row r="573" spans="1:16" ht="15">
      <c r="A573" s="217"/>
      <c r="B573" s="218"/>
      <c r="C573" s="221"/>
      <c r="D573" s="222"/>
      <c r="E573" s="223"/>
      <c r="F573" s="221"/>
      <c r="G573" s="221"/>
      <c r="H573" s="191"/>
      <c r="I573" s="191"/>
      <c r="J573" s="191"/>
      <c r="K573" s="191"/>
      <c r="L573" s="221"/>
      <c r="M573" s="221"/>
      <c r="N573" s="221"/>
      <c r="O573" s="221"/>
      <c r="P573" s="221"/>
    </row>
    <row r="574" spans="1:16" ht="15">
      <c r="A574" s="217"/>
      <c r="B574" s="218"/>
      <c r="C574" s="221"/>
      <c r="D574" s="222"/>
      <c r="E574" s="223"/>
      <c r="F574" s="221"/>
      <c r="G574" s="221"/>
      <c r="H574" s="191"/>
      <c r="I574" s="191"/>
      <c r="J574" s="191"/>
      <c r="K574" s="191"/>
      <c r="L574" s="221"/>
      <c r="M574" s="221"/>
      <c r="N574" s="221"/>
      <c r="O574" s="221"/>
      <c r="P574" s="221"/>
    </row>
    <row r="575" spans="1:16" ht="15">
      <c r="A575" s="217"/>
      <c r="B575" s="218"/>
      <c r="C575" s="221"/>
      <c r="D575" s="222"/>
      <c r="E575" s="223"/>
      <c r="F575" s="221"/>
      <c r="G575" s="221"/>
      <c r="H575" s="191"/>
      <c r="I575" s="191"/>
      <c r="J575" s="191"/>
      <c r="K575" s="191"/>
      <c r="L575" s="221"/>
      <c r="M575" s="221"/>
      <c r="N575" s="221"/>
      <c r="O575" s="221"/>
      <c r="P575" s="221"/>
    </row>
    <row r="576" spans="1:16" ht="15">
      <c r="A576" s="217"/>
      <c r="B576" s="218"/>
      <c r="C576" s="221"/>
      <c r="D576" s="222"/>
      <c r="E576" s="223"/>
      <c r="F576" s="221"/>
      <c r="G576" s="221"/>
      <c r="H576" s="191"/>
      <c r="I576" s="191"/>
      <c r="J576" s="191"/>
      <c r="K576" s="191"/>
      <c r="L576" s="221"/>
      <c r="M576" s="221"/>
      <c r="N576" s="221"/>
      <c r="O576" s="221"/>
      <c r="P576" s="221"/>
    </row>
    <row r="577" spans="1:16" ht="15">
      <c r="A577" s="217"/>
      <c r="B577" s="218"/>
      <c r="C577" s="221"/>
      <c r="D577" s="222"/>
      <c r="E577" s="223"/>
      <c r="F577" s="221"/>
      <c r="G577" s="221"/>
      <c r="H577" s="191"/>
      <c r="I577" s="191"/>
      <c r="J577" s="191"/>
      <c r="K577" s="191"/>
      <c r="L577" s="221"/>
      <c r="M577" s="221"/>
      <c r="N577" s="221"/>
      <c r="O577" s="221"/>
      <c r="P577" s="221"/>
    </row>
    <row r="578" spans="1:16" ht="15">
      <c r="A578" s="217"/>
      <c r="B578" s="218"/>
      <c r="C578" s="221"/>
      <c r="D578" s="222"/>
      <c r="E578" s="223"/>
      <c r="F578" s="221"/>
      <c r="G578" s="221"/>
      <c r="H578" s="191"/>
      <c r="I578" s="191"/>
      <c r="J578" s="191"/>
      <c r="K578" s="191"/>
      <c r="L578" s="221"/>
      <c r="M578" s="221"/>
      <c r="N578" s="221"/>
      <c r="O578" s="221"/>
      <c r="P578" s="221"/>
    </row>
    <row r="579" spans="1:16" ht="15">
      <c r="A579" s="217"/>
      <c r="B579" s="218"/>
      <c r="C579" s="221"/>
      <c r="D579" s="222"/>
      <c r="E579" s="223"/>
      <c r="F579" s="221"/>
      <c r="G579" s="221"/>
      <c r="H579" s="191"/>
      <c r="I579" s="191"/>
      <c r="J579" s="191"/>
      <c r="K579" s="191"/>
      <c r="L579" s="221"/>
      <c r="M579" s="221"/>
      <c r="N579" s="221"/>
      <c r="O579" s="221"/>
      <c r="P579" s="221"/>
    </row>
    <row r="580" spans="1:16" ht="15">
      <c r="A580" s="217"/>
      <c r="B580" s="218"/>
      <c r="C580" s="221"/>
      <c r="D580" s="222"/>
      <c r="E580" s="223"/>
      <c r="F580" s="221"/>
      <c r="G580" s="221"/>
      <c r="H580" s="191"/>
      <c r="I580" s="191"/>
      <c r="J580" s="191"/>
      <c r="K580" s="191"/>
      <c r="L580" s="221"/>
      <c r="M580" s="221"/>
      <c r="N580" s="221"/>
      <c r="O580" s="221"/>
      <c r="P580" s="221"/>
    </row>
    <row r="581" spans="1:16" ht="15">
      <c r="A581" s="217"/>
      <c r="B581" s="218"/>
      <c r="C581" s="221"/>
      <c r="D581" s="222"/>
      <c r="E581" s="223"/>
      <c r="F581" s="221"/>
      <c r="G581" s="221"/>
      <c r="H581" s="191"/>
      <c r="I581" s="191"/>
      <c r="J581" s="191"/>
      <c r="K581" s="191"/>
      <c r="L581" s="221"/>
      <c r="M581" s="221"/>
      <c r="N581" s="221"/>
      <c r="O581" s="221"/>
      <c r="P581" s="221"/>
    </row>
    <row r="582" spans="1:16" ht="15">
      <c r="A582" s="217"/>
      <c r="B582" s="218"/>
      <c r="C582" s="221"/>
      <c r="D582" s="222"/>
      <c r="E582" s="223"/>
      <c r="F582" s="221"/>
      <c r="G582" s="221"/>
      <c r="H582" s="191"/>
      <c r="I582" s="191"/>
      <c r="J582" s="191"/>
      <c r="K582" s="191"/>
      <c r="L582" s="221"/>
      <c r="M582" s="221"/>
      <c r="N582" s="221"/>
      <c r="O582" s="221"/>
      <c r="P582" s="221"/>
    </row>
    <row r="583" spans="1:16" ht="15">
      <c r="A583" s="217"/>
      <c r="B583" s="218"/>
      <c r="C583" s="221"/>
      <c r="D583" s="222"/>
      <c r="E583" s="223"/>
      <c r="F583" s="221"/>
      <c r="G583" s="221"/>
      <c r="H583" s="191"/>
      <c r="I583" s="191"/>
      <c r="J583" s="191"/>
      <c r="K583" s="191"/>
      <c r="L583" s="221"/>
      <c r="M583" s="221"/>
      <c r="N583" s="221"/>
      <c r="O583" s="221"/>
      <c r="P583" s="221"/>
    </row>
    <row r="584" spans="1:16" ht="15">
      <c r="A584" s="217"/>
      <c r="B584" s="218"/>
      <c r="C584" s="221"/>
      <c r="D584" s="222"/>
      <c r="E584" s="223"/>
      <c r="F584" s="221"/>
      <c r="G584" s="221"/>
      <c r="H584" s="191"/>
      <c r="I584" s="191"/>
      <c r="J584" s="191"/>
      <c r="K584" s="191"/>
      <c r="L584" s="221"/>
      <c r="M584" s="221"/>
      <c r="N584" s="221"/>
      <c r="O584" s="221"/>
      <c r="P584" s="221"/>
    </row>
    <row r="585" spans="1:16" ht="15">
      <c r="A585" s="217"/>
      <c r="B585" s="218"/>
      <c r="C585" s="221"/>
      <c r="D585" s="222"/>
      <c r="E585" s="223"/>
      <c r="F585" s="221"/>
      <c r="G585" s="221"/>
      <c r="H585" s="191"/>
      <c r="I585" s="191"/>
      <c r="J585" s="191"/>
      <c r="K585" s="191"/>
      <c r="L585" s="221"/>
      <c r="M585" s="221"/>
      <c r="N585" s="221"/>
      <c r="O585" s="221"/>
      <c r="P585" s="221"/>
    </row>
    <row r="586" spans="1:16" ht="15">
      <c r="A586" s="217"/>
      <c r="B586" s="218"/>
      <c r="C586" s="221"/>
      <c r="D586" s="222"/>
      <c r="E586" s="223"/>
      <c r="F586" s="221"/>
      <c r="G586" s="221"/>
      <c r="H586" s="191"/>
      <c r="I586" s="191"/>
      <c r="J586" s="191"/>
      <c r="K586" s="191"/>
      <c r="L586" s="221"/>
      <c r="M586" s="221"/>
      <c r="N586" s="221"/>
      <c r="O586" s="221"/>
      <c r="P586" s="221"/>
    </row>
    <row r="587" spans="1:16" ht="15">
      <c r="A587" s="217"/>
      <c r="B587" s="218"/>
      <c r="C587" s="221"/>
      <c r="D587" s="222"/>
      <c r="E587" s="223"/>
      <c r="F587" s="221"/>
      <c r="G587" s="221"/>
      <c r="H587" s="191"/>
      <c r="I587" s="191"/>
      <c r="J587" s="191"/>
      <c r="K587" s="191"/>
      <c r="L587" s="221"/>
      <c r="M587" s="221"/>
      <c r="N587" s="221"/>
      <c r="O587" s="221"/>
      <c r="P587" s="221"/>
    </row>
    <row r="588" spans="1:16" ht="15">
      <c r="A588" s="217"/>
      <c r="B588" s="218"/>
      <c r="C588" s="221"/>
      <c r="D588" s="222"/>
      <c r="E588" s="223"/>
      <c r="F588" s="221"/>
      <c r="G588" s="221"/>
      <c r="H588" s="191"/>
      <c r="I588" s="191"/>
      <c r="J588" s="191"/>
      <c r="K588" s="191"/>
      <c r="L588" s="221"/>
      <c r="M588" s="221"/>
      <c r="N588" s="221"/>
      <c r="O588" s="221"/>
      <c r="P588" s="221"/>
    </row>
    <row r="589" spans="1:16" ht="15">
      <c r="A589" s="217"/>
      <c r="B589" s="218"/>
      <c r="C589" s="221"/>
      <c r="D589" s="222"/>
      <c r="E589" s="223"/>
      <c r="F589" s="221"/>
      <c r="G589" s="221"/>
      <c r="H589" s="191"/>
      <c r="I589" s="191"/>
      <c r="J589" s="191"/>
      <c r="K589" s="191"/>
      <c r="L589" s="221"/>
      <c r="M589" s="221"/>
      <c r="N589" s="221"/>
      <c r="O589" s="221"/>
      <c r="P589" s="221"/>
    </row>
    <row r="590" spans="1:16" ht="15">
      <c r="A590" s="217"/>
      <c r="B590" s="218"/>
      <c r="C590" s="221"/>
      <c r="D590" s="222"/>
      <c r="E590" s="223"/>
      <c r="F590" s="221"/>
      <c r="G590" s="221"/>
      <c r="H590" s="191"/>
      <c r="I590" s="191"/>
      <c r="J590" s="191"/>
      <c r="K590" s="191"/>
      <c r="L590" s="221"/>
      <c r="M590" s="221"/>
      <c r="N590" s="221"/>
      <c r="O590" s="221"/>
      <c r="P590" s="221"/>
    </row>
    <row r="591" spans="1:16" ht="15">
      <c r="A591" s="217"/>
      <c r="B591" s="218"/>
      <c r="C591" s="221"/>
      <c r="D591" s="222"/>
      <c r="E591" s="223"/>
      <c r="F591" s="221"/>
      <c r="G591" s="221"/>
      <c r="H591" s="191"/>
      <c r="I591" s="191"/>
      <c r="J591" s="191"/>
      <c r="K591" s="191"/>
      <c r="L591" s="221"/>
      <c r="M591" s="221"/>
      <c r="N591" s="221"/>
      <c r="O591" s="221"/>
      <c r="P591" s="221"/>
    </row>
    <row r="592" spans="1:16" ht="15">
      <c r="A592" s="217"/>
      <c r="B592" s="218"/>
      <c r="C592" s="221"/>
      <c r="D592" s="222"/>
      <c r="E592" s="223"/>
      <c r="F592" s="221"/>
      <c r="G592" s="221"/>
      <c r="H592" s="191"/>
      <c r="I592" s="191"/>
      <c r="J592" s="191"/>
      <c r="K592" s="191"/>
      <c r="L592" s="221"/>
      <c r="M592" s="221"/>
      <c r="N592" s="221"/>
      <c r="O592" s="221"/>
      <c r="P592" s="221"/>
    </row>
    <row r="593" spans="1:16" ht="15">
      <c r="A593" s="217"/>
      <c r="B593" s="218"/>
      <c r="C593" s="221"/>
      <c r="D593" s="222"/>
      <c r="E593" s="223"/>
      <c r="F593" s="221"/>
      <c r="G593" s="221"/>
      <c r="H593" s="191"/>
      <c r="I593" s="191"/>
      <c r="J593" s="191"/>
      <c r="K593" s="191"/>
      <c r="L593" s="221"/>
      <c r="M593" s="221"/>
      <c r="N593" s="221"/>
      <c r="O593" s="221"/>
      <c r="P593" s="221"/>
    </row>
    <row r="594" spans="1:16" ht="15">
      <c r="A594" s="217"/>
      <c r="B594" s="218"/>
      <c r="C594" s="221"/>
      <c r="D594" s="222"/>
      <c r="E594" s="223"/>
      <c r="F594" s="221"/>
      <c r="G594" s="221"/>
      <c r="H594" s="191"/>
      <c r="I594" s="191"/>
      <c r="J594" s="191"/>
      <c r="K594" s="191"/>
      <c r="L594" s="221"/>
      <c r="M594" s="221"/>
      <c r="N594" s="221"/>
      <c r="O594" s="221"/>
      <c r="P594" s="221"/>
    </row>
    <row r="595" spans="1:16" ht="15">
      <c r="A595" s="217"/>
      <c r="B595" s="218"/>
      <c r="C595" s="221"/>
      <c r="D595" s="222"/>
      <c r="E595" s="223"/>
      <c r="F595" s="221"/>
      <c r="G595" s="221"/>
      <c r="H595" s="191"/>
      <c r="I595" s="191"/>
      <c r="J595" s="191"/>
      <c r="K595" s="191"/>
      <c r="L595" s="221"/>
      <c r="M595" s="221"/>
      <c r="N595" s="221"/>
      <c r="O595" s="221"/>
      <c r="P595" s="221"/>
    </row>
    <row r="596" spans="1:16" ht="15">
      <c r="A596" s="217"/>
      <c r="B596" s="218"/>
      <c r="C596" s="221"/>
      <c r="D596" s="222"/>
      <c r="E596" s="223"/>
      <c r="F596" s="221"/>
      <c r="G596" s="221"/>
      <c r="H596" s="191"/>
      <c r="I596" s="191"/>
      <c r="J596" s="191"/>
      <c r="K596" s="191"/>
      <c r="L596" s="221"/>
      <c r="M596" s="221"/>
      <c r="N596" s="221"/>
      <c r="O596" s="221"/>
      <c r="P596" s="221"/>
    </row>
    <row r="597" spans="1:16" ht="15">
      <c r="A597" s="217"/>
      <c r="B597" s="218"/>
      <c r="C597" s="221"/>
      <c r="D597" s="222"/>
      <c r="E597" s="223"/>
      <c r="F597" s="221"/>
      <c r="G597" s="221"/>
      <c r="H597" s="191"/>
      <c r="I597" s="191"/>
      <c r="J597" s="191"/>
      <c r="K597" s="191"/>
      <c r="L597" s="221"/>
      <c r="M597" s="221"/>
      <c r="N597" s="221"/>
      <c r="O597" s="221"/>
      <c r="P597" s="221"/>
    </row>
    <row r="598" spans="1:16" ht="15">
      <c r="A598" s="217"/>
      <c r="B598" s="218"/>
      <c r="C598" s="221"/>
      <c r="D598" s="222"/>
      <c r="E598" s="223"/>
      <c r="F598" s="221"/>
      <c r="G598" s="221"/>
      <c r="H598" s="191"/>
      <c r="I598" s="191"/>
      <c r="J598" s="191"/>
      <c r="K598" s="191"/>
      <c r="L598" s="221"/>
      <c r="M598" s="221"/>
      <c r="N598" s="221"/>
      <c r="O598" s="221"/>
      <c r="P598" s="221"/>
    </row>
    <row r="599" spans="1:16" ht="15">
      <c r="A599" s="217"/>
      <c r="B599" s="218"/>
      <c r="C599" s="221"/>
      <c r="D599" s="222"/>
      <c r="E599" s="223"/>
      <c r="F599" s="221"/>
      <c r="G599" s="221"/>
      <c r="H599" s="191"/>
      <c r="I599" s="191"/>
      <c r="J599" s="191"/>
      <c r="K599" s="191"/>
      <c r="L599" s="221"/>
      <c r="M599" s="221"/>
      <c r="N599" s="221"/>
      <c r="O599" s="221"/>
      <c r="P599" s="221"/>
    </row>
    <row r="600" spans="1:16" ht="15">
      <c r="A600" s="217"/>
      <c r="B600" s="218"/>
      <c r="C600" s="221"/>
      <c r="D600" s="222"/>
      <c r="E600" s="223"/>
      <c r="F600" s="221"/>
      <c r="G600" s="221"/>
      <c r="H600" s="191"/>
      <c r="I600" s="191"/>
      <c r="J600" s="191"/>
      <c r="K600" s="191"/>
      <c r="L600" s="221"/>
      <c r="M600" s="221"/>
      <c r="N600" s="221"/>
      <c r="O600" s="221"/>
      <c r="P600" s="221"/>
    </row>
    <row r="601" spans="1:16" ht="15">
      <c r="A601" s="217"/>
      <c r="B601" s="218"/>
      <c r="C601" s="221"/>
      <c r="D601" s="222"/>
      <c r="E601" s="223"/>
      <c r="F601" s="221"/>
      <c r="G601" s="221"/>
      <c r="H601" s="191"/>
      <c r="I601" s="191"/>
      <c r="J601" s="191"/>
      <c r="K601" s="191"/>
      <c r="L601" s="221"/>
      <c r="M601" s="221"/>
      <c r="N601" s="221"/>
      <c r="O601" s="221"/>
      <c r="P601" s="221"/>
    </row>
    <row r="602" spans="1:16" ht="15">
      <c r="A602" s="217"/>
      <c r="B602" s="218"/>
      <c r="C602" s="221"/>
      <c r="D602" s="222"/>
      <c r="E602" s="223"/>
      <c r="F602" s="221"/>
      <c r="G602" s="221"/>
      <c r="H602" s="191"/>
      <c r="I602" s="191"/>
      <c r="J602" s="191"/>
      <c r="K602" s="191"/>
      <c r="L602" s="221"/>
      <c r="M602" s="221"/>
      <c r="N602" s="221"/>
      <c r="O602" s="221"/>
      <c r="P602" s="221"/>
    </row>
    <row r="603" spans="1:16" ht="15">
      <c r="A603" s="217"/>
      <c r="B603" s="218"/>
      <c r="C603" s="221"/>
      <c r="D603" s="222"/>
      <c r="E603" s="223"/>
      <c r="F603" s="221"/>
      <c r="G603" s="221"/>
      <c r="H603" s="191"/>
      <c r="I603" s="191"/>
      <c r="J603" s="191"/>
      <c r="K603" s="191"/>
      <c r="L603" s="221"/>
      <c r="M603" s="221"/>
      <c r="N603" s="221"/>
      <c r="O603" s="221"/>
      <c r="P603" s="221"/>
    </row>
    <row r="604" spans="1:16" ht="15">
      <c r="A604" s="217"/>
      <c r="B604" s="218"/>
      <c r="C604" s="221"/>
      <c r="D604" s="222"/>
      <c r="E604" s="223"/>
      <c r="F604" s="221"/>
      <c r="G604" s="221"/>
      <c r="H604" s="191"/>
      <c r="I604" s="191"/>
      <c r="J604" s="191"/>
      <c r="K604" s="191"/>
      <c r="L604" s="221"/>
      <c r="M604" s="221"/>
      <c r="N604" s="221"/>
      <c r="O604" s="221"/>
      <c r="P604" s="221"/>
    </row>
    <row r="605" spans="1:16" ht="15">
      <c r="A605" s="217"/>
      <c r="B605" s="218"/>
      <c r="C605" s="221"/>
      <c r="D605" s="222"/>
      <c r="E605" s="223"/>
      <c r="F605" s="221"/>
      <c r="G605" s="221"/>
      <c r="H605" s="191"/>
      <c r="I605" s="191"/>
      <c r="J605" s="191"/>
      <c r="K605" s="191"/>
      <c r="L605" s="221"/>
      <c r="M605" s="221"/>
      <c r="N605" s="221"/>
      <c r="O605" s="221"/>
      <c r="P605" s="221"/>
    </row>
    <row r="606" spans="1:16" ht="15">
      <c r="A606" s="217"/>
      <c r="B606" s="218"/>
      <c r="C606" s="221"/>
      <c r="D606" s="222"/>
      <c r="E606" s="223"/>
      <c r="F606" s="221"/>
      <c r="G606" s="221"/>
      <c r="H606" s="191"/>
      <c r="I606" s="191"/>
      <c r="J606" s="191"/>
      <c r="K606" s="191"/>
      <c r="L606" s="221"/>
      <c r="M606" s="221"/>
      <c r="N606" s="221"/>
      <c r="O606" s="221"/>
      <c r="P606" s="221"/>
    </row>
    <row r="607" spans="1:16" ht="15">
      <c r="A607" s="217"/>
      <c r="B607" s="218"/>
      <c r="C607" s="221"/>
      <c r="D607" s="222"/>
      <c r="E607" s="223"/>
      <c r="F607" s="221"/>
      <c r="G607" s="221"/>
      <c r="H607" s="191"/>
      <c r="I607" s="191"/>
      <c r="J607" s="191"/>
      <c r="K607" s="191"/>
      <c r="L607" s="221"/>
      <c r="M607" s="221"/>
      <c r="N607" s="221"/>
      <c r="O607" s="221"/>
      <c r="P607" s="221"/>
    </row>
    <row r="608" spans="1:16" ht="15">
      <c r="A608" s="217"/>
      <c r="B608" s="218"/>
      <c r="C608" s="221"/>
      <c r="D608" s="222"/>
      <c r="E608" s="223"/>
      <c r="F608" s="221"/>
      <c r="G608" s="221"/>
      <c r="H608" s="191"/>
      <c r="I608" s="191"/>
      <c r="J608" s="191"/>
      <c r="K608" s="191"/>
      <c r="L608" s="221"/>
      <c r="M608" s="221"/>
      <c r="N608" s="221"/>
      <c r="O608" s="221"/>
      <c r="P608" s="221"/>
    </row>
    <row r="609" spans="1:16" ht="15">
      <c r="A609" s="217"/>
      <c r="B609" s="218"/>
      <c r="C609" s="221"/>
      <c r="D609" s="222"/>
      <c r="E609" s="223"/>
      <c r="F609" s="221"/>
      <c r="G609" s="221"/>
      <c r="H609" s="191"/>
      <c r="I609" s="191"/>
      <c r="J609" s="191"/>
      <c r="K609" s="191"/>
      <c r="L609" s="221"/>
      <c r="M609" s="221"/>
      <c r="N609" s="221"/>
      <c r="O609" s="221"/>
      <c r="P609" s="221"/>
    </row>
    <row r="610" spans="1:16" ht="15">
      <c r="A610" s="217"/>
      <c r="B610" s="218"/>
      <c r="C610" s="221"/>
      <c r="D610" s="222"/>
      <c r="E610" s="223"/>
      <c r="F610" s="221"/>
      <c r="G610" s="221"/>
      <c r="H610" s="191"/>
      <c r="I610" s="191"/>
      <c r="J610" s="191"/>
      <c r="K610" s="191"/>
      <c r="L610" s="221"/>
      <c r="M610" s="221"/>
      <c r="N610" s="221"/>
      <c r="O610" s="221"/>
      <c r="P610" s="221"/>
    </row>
    <row r="611" spans="1:16" ht="15">
      <c r="A611" s="217"/>
      <c r="B611" s="218"/>
      <c r="C611" s="221"/>
      <c r="D611" s="222"/>
      <c r="E611" s="223"/>
      <c r="F611" s="221"/>
      <c r="G611" s="221"/>
      <c r="H611" s="191"/>
      <c r="I611" s="191"/>
      <c r="J611" s="191"/>
      <c r="K611" s="191"/>
      <c r="L611" s="221"/>
      <c r="M611" s="221"/>
      <c r="N611" s="221"/>
      <c r="O611" s="221"/>
      <c r="P611" s="221"/>
    </row>
    <row r="612" spans="1:16" ht="15">
      <c r="A612" s="217"/>
      <c r="B612" s="218"/>
      <c r="C612" s="221"/>
      <c r="D612" s="222"/>
      <c r="E612" s="223"/>
      <c r="F612" s="221"/>
      <c r="G612" s="221"/>
      <c r="H612" s="191"/>
      <c r="I612" s="191"/>
      <c r="J612" s="191"/>
      <c r="K612" s="191"/>
      <c r="L612" s="221"/>
      <c r="M612" s="221"/>
      <c r="N612" s="221"/>
      <c r="O612" s="221"/>
      <c r="P612" s="221"/>
    </row>
    <row r="613" spans="1:16" ht="15">
      <c r="A613" s="217"/>
      <c r="B613" s="218"/>
      <c r="C613" s="221"/>
      <c r="D613" s="222"/>
      <c r="E613" s="223"/>
      <c r="F613" s="221"/>
      <c r="G613" s="221"/>
      <c r="H613" s="191"/>
      <c r="I613" s="191"/>
      <c r="J613" s="191"/>
      <c r="K613" s="191"/>
      <c r="L613" s="221"/>
      <c r="M613" s="221"/>
      <c r="N613" s="221"/>
      <c r="O613" s="221"/>
      <c r="P613" s="221"/>
    </row>
    <row r="614" spans="1:16" ht="15">
      <c r="A614" s="217"/>
      <c r="B614" s="218"/>
      <c r="C614" s="221"/>
      <c r="D614" s="222"/>
      <c r="E614" s="223"/>
      <c r="F614" s="221"/>
      <c r="G614" s="221"/>
      <c r="H614" s="191"/>
      <c r="I614" s="191"/>
      <c r="J614" s="191"/>
      <c r="K614" s="191"/>
      <c r="L614" s="221"/>
      <c r="M614" s="221"/>
      <c r="N614" s="221"/>
      <c r="O614" s="221"/>
      <c r="P614" s="221"/>
    </row>
    <row r="615" spans="1:16" ht="15">
      <c r="A615" s="217"/>
      <c r="B615" s="218"/>
      <c r="C615" s="221"/>
      <c r="D615" s="222"/>
      <c r="E615" s="223"/>
      <c r="F615" s="221"/>
      <c r="G615" s="221"/>
      <c r="H615" s="191"/>
      <c r="I615" s="191"/>
      <c r="J615" s="191"/>
      <c r="K615" s="191"/>
      <c r="L615" s="221"/>
      <c r="M615" s="221"/>
      <c r="N615" s="221"/>
      <c r="O615" s="221"/>
      <c r="P615" s="221"/>
    </row>
    <row r="616" spans="1:16" ht="15">
      <c r="A616" s="217"/>
      <c r="B616" s="218"/>
      <c r="C616" s="221"/>
      <c r="D616" s="222"/>
      <c r="E616" s="223"/>
      <c r="F616" s="221"/>
      <c r="G616" s="221"/>
      <c r="H616" s="191"/>
      <c r="I616" s="191"/>
      <c r="J616" s="191"/>
      <c r="K616" s="191"/>
      <c r="L616" s="221"/>
      <c r="M616" s="221"/>
      <c r="N616" s="221"/>
      <c r="O616" s="221"/>
      <c r="P616" s="221"/>
    </row>
    <row r="617" spans="1:16" ht="15">
      <c r="A617" s="217"/>
      <c r="B617" s="218"/>
      <c r="C617" s="221"/>
      <c r="D617" s="222"/>
      <c r="E617" s="223"/>
      <c r="F617" s="221"/>
      <c r="G617" s="221"/>
      <c r="H617" s="191"/>
      <c r="I617" s="191"/>
      <c r="J617" s="191"/>
      <c r="K617" s="191"/>
      <c r="L617" s="221"/>
      <c r="M617" s="221"/>
      <c r="N617" s="221"/>
      <c r="O617" s="221"/>
      <c r="P617" s="221"/>
    </row>
    <row r="618" spans="1:16" ht="15">
      <c r="A618" s="217"/>
      <c r="B618" s="218"/>
      <c r="C618" s="221"/>
      <c r="D618" s="222"/>
      <c r="E618" s="223"/>
      <c r="F618" s="221"/>
      <c r="G618" s="221"/>
      <c r="H618" s="191"/>
      <c r="I618" s="191"/>
      <c r="J618" s="191"/>
      <c r="K618" s="191"/>
      <c r="L618" s="221"/>
      <c r="M618" s="221"/>
      <c r="N618" s="221"/>
      <c r="O618" s="221"/>
      <c r="P618" s="221"/>
    </row>
    <row r="619" spans="1:16" ht="15">
      <c r="A619" s="217"/>
      <c r="B619" s="218"/>
      <c r="C619" s="221"/>
      <c r="D619" s="222"/>
      <c r="E619" s="223"/>
      <c r="F619" s="221"/>
      <c r="G619" s="221"/>
      <c r="H619" s="191"/>
      <c r="I619" s="191"/>
      <c r="J619" s="191"/>
      <c r="K619" s="191"/>
      <c r="L619" s="221"/>
      <c r="M619" s="221"/>
      <c r="N619" s="221"/>
      <c r="O619" s="221"/>
      <c r="P619" s="221"/>
    </row>
    <row r="620" spans="1:16" ht="15">
      <c r="A620" s="217"/>
      <c r="B620" s="218"/>
      <c r="C620" s="221"/>
      <c r="D620" s="222"/>
      <c r="E620" s="223"/>
      <c r="F620" s="221"/>
      <c r="G620" s="221"/>
      <c r="H620" s="191"/>
      <c r="I620" s="191"/>
      <c r="J620" s="191"/>
      <c r="K620" s="191"/>
      <c r="L620" s="221"/>
      <c r="M620" s="221"/>
      <c r="N620" s="221"/>
      <c r="O620" s="221"/>
      <c r="P620" s="221"/>
    </row>
    <row r="621" spans="1:16" ht="15">
      <c r="A621" s="217"/>
      <c r="B621" s="218"/>
      <c r="C621" s="221"/>
      <c r="D621" s="222"/>
      <c r="E621" s="223"/>
      <c r="F621" s="221"/>
      <c r="G621" s="221"/>
      <c r="H621" s="191"/>
      <c r="I621" s="191"/>
      <c r="J621" s="191"/>
      <c r="K621" s="191"/>
      <c r="L621" s="221"/>
      <c r="M621" s="221"/>
      <c r="N621" s="221"/>
      <c r="O621" s="221"/>
      <c r="P621" s="221"/>
    </row>
    <row r="622" spans="1:16" ht="15">
      <c r="A622" s="217"/>
      <c r="B622" s="218"/>
      <c r="C622" s="221"/>
      <c r="D622" s="222"/>
      <c r="E622" s="223"/>
      <c r="F622" s="221"/>
      <c r="G622" s="221"/>
      <c r="H622" s="191"/>
      <c r="I622" s="191"/>
      <c r="J622" s="191"/>
      <c r="K622" s="191"/>
      <c r="L622" s="221"/>
      <c r="M622" s="221"/>
      <c r="N622" s="221"/>
      <c r="O622" s="221"/>
      <c r="P622" s="221"/>
    </row>
    <row r="623" spans="1:16" ht="15">
      <c r="A623" s="217"/>
      <c r="B623" s="218"/>
      <c r="C623" s="221"/>
      <c r="D623" s="222"/>
      <c r="E623" s="223"/>
      <c r="F623" s="221"/>
      <c r="G623" s="221"/>
      <c r="H623" s="191"/>
      <c r="I623" s="191"/>
      <c r="J623" s="191"/>
      <c r="K623" s="191"/>
      <c r="L623" s="221"/>
      <c r="M623" s="221"/>
      <c r="N623" s="221"/>
      <c r="O623" s="221"/>
      <c r="P623" s="221"/>
    </row>
    <row r="624" spans="1:16" ht="15">
      <c r="A624" s="217"/>
      <c r="B624" s="218"/>
      <c r="C624" s="221"/>
      <c r="D624" s="222"/>
      <c r="E624" s="223"/>
      <c r="F624" s="221"/>
      <c r="G624" s="221"/>
      <c r="H624" s="191"/>
      <c r="I624" s="191"/>
      <c r="J624" s="191"/>
      <c r="K624" s="191"/>
      <c r="L624" s="221"/>
      <c r="M624" s="221"/>
      <c r="N624" s="221"/>
      <c r="O624" s="221"/>
      <c r="P624" s="221"/>
    </row>
    <row r="625" spans="1:16" ht="15">
      <c r="A625" s="217"/>
      <c r="B625" s="218"/>
      <c r="C625" s="221"/>
      <c r="D625" s="222"/>
      <c r="E625" s="223"/>
      <c r="F625" s="221"/>
      <c r="G625" s="221"/>
      <c r="H625" s="191"/>
      <c r="I625" s="191"/>
      <c r="J625" s="191"/>
      <c r="K625" s="191"/>
      <c r="L625" s="221"/>
      <c r="M625" s="221"/>
      <c r="N625" s="221"/>
      <c r="O625" s="221"/>
      <c r="P625" s="221"/>
    </row>
    <row r="626" spans="1:16" ht="15">
      <c r="A626" s="217"/>
      <c r="B626" s="218"/>
      <c r="C626" s="221"/>
      <c r="D626" s="222"/>
      <c r="E626" s="223"/>
      <c r="F626" s="221"/>
      <c r="G626" s="221"/>
      <c r="H626" s="191"/>
      <c r="I626" s="191"/>
      <c r="J626" s="191"/>
      <c r="K626" s="191"/>
      <c r="L626" s="221"/>
      <c r="M626" s="221"/>
      <c r="N626" s="221"/>
      <c r="O626" s="221"/>
      <c r="P626" s="221"/>
    </row>
    <row r="627" spans="1:16" ht="15">
      <c r="A627" s="217"/>
      <c r="B627" s="218"/>
      <c r="C627" s="221"/>
      <c r="D627" s="222"/>
      <c r="E627" s="223"/>
      <c r="F627" s="221"/>
      <c r="G627" s="221"/>
      <c r="H627" s="191"/>
      <c r="I627" s="191"/>
      <c r="J627" s="191"/>
      <c r="K627" s="191"/>
      <c r="L627" s="221"/>
      <c r="M627" s="221"/>
      <c r="N627" s="221"/>
      <c r="O627" s="221"/>
      <c r="P627" s="221"/>
    </row>
    <row r="628" spans="1:16" ht="15">
      <c r="A628" s="217"/>
      <c r="B628" s="218"/>
      <c r="C628" s="221"/>
      <c r="D628" s="222"/>
      <c r="E628" s="223"/>
      <c r="F628" s="221"/>
      <c r="G628" s="221"/>
      <c r="H628" s="191"/>
      <c r="I628" s="191"/>
      <c r="J628" s="191"/>
      <c r="K628" s="191"/>
      <c r="L628" s="221"/>
      <c r="M628" s="221"/>
      <c r="N628" s="221"/>
      <c r="O628" s="221"/>
      <c r="P628" s="221"/>
    </row>
    <row r="629" spans="1:16" ht="15">
      <c r="A629" s="217"/>
      <c r="B629" s="218"/>
      <c r="C629" s="221"/>
      <c r="D629" s="222"/>
      <c r="E629" s="223"/>
      <c r="F629" s="221"/>
      <c r="G629" s="221"/>
      <c r="H629" s="191"/>
      <c r="I629" s="191"/>
      <c r="J629" s="191"/>
      <c r="K629" s="191"/>
      <c r="L629" s="221"/>
      <c r="M629" s="221"/>
      <c r="N629" s="221"/>
      <c r="O629" s="221"/>
      <c r="P629" s="221"/>
    </row>
    <row r="630" spans="1:16" ht="15">
      <c r="A630" s="217"/>
      <c r="B630" s="218"/>
      <c r="C630" s="221"/>
      <c r="D630" s="222"/>
      <c r="E630" s="223"/>
      <c r="F630" s="221"/>
      <c r="G630" s="221"/>
      <c r="H630" s="191"/>
      <c r="I630" s="191"/>
      <c r="J630" s="191"/>
      <c r="K630" s="191"/>
      <c r="L630" s="221"/>
      <c r="M630" s="221"/>
      <c r="N630" s="221"/>
      <c r="O630" s="221"/>
      <c r="P630" s="221"/>
    </row>
    <row r="631" spans="1:16" ht="15">
      <c r="A631" s="217"/>
      <c r="B631" s="218"/>
      <c r="C631" s="221"/>
      <c r="D631" s="222"/>
      <c r="E631" s="223"/>
      <c r="F631" s="221"/>
      <c r="G631" s="221"/>
      <c r="H631" s="191"/>
      <c r="I631" s="191"/>
      <c r="J631" s="191"/>
      <c r="K631" s="191"/>
      <c r="L631" s="221"/>
      <c r="M631" s="221"/>
      <c r="N631" s="221"/>
      <c r="O631" s="221"/>
      <c r="P631" s="221"/>
    </row>
    <row r="632" spans="1:16" ht="15">
      <c r="A632" s="217"/>
      <c r="B632" s="218"/>
      <c r="C632" s="221"/>
      <c r="D632" s="222"/>
      <c r="E632" s="223"/>
      <c r="F632" s="221"/>
      <c r="G632" s="221"/>
      <c r="H632" s="191"/>
      <c r="I632" s="191"/>
      <c r="J632" s="191"/>
      <c r="K632" s="191"/>
      <c r="L632" s="221"/>
      <c r="M632" s="221"/>
      <c r="N632" s="221"/>
      <c r="O632" s="221"/>
      <c r="P632" s="221"/>
    </row>
    <row r="633" spans="1:16" ht="15">
      <c r="A633" s="217"/>
      <c r="B633" s="218"/>
      <c r="C633" s="221"/>
      <c r="D633" s="222"/>
      <c r="E633" s="223"/>
      <c r="F633" s="221"/>
      <c r="G633" s="221"/>
      <c r="H633" s="191"/>
      <c r="I633" s="191"/>
      <c r="J633" s="191"/>
      <c r="K633" s="191"/>
      <c r="L633" s="221"/>
      <c r="M633" s="221"/>
      <c r="N633" s="221"/>
      <c r="O633" s="221"/>
      <c r="P633" s="221"/>
    </row>
    <row r="634" spans="1:16" ht="15">
      <c r="A634" s="217"/>
      <c r="B634" s="218"/>
      <c r="C634" s="221"/>
      <c r="D634" s="222"/>
      <c r="E634" s="223"/>
      <c r="F634" s="221"/>
      <c r="G634" s="221"/>
      <c r="H634" s="191"/>
      <c r="I634" s="191"/>
      <c r="J634" s="191"/>
      <c r="K634" s="191"/>
      <c r="L634" s="221"/>
      <c r="M634" s="221"/>
      <c r="N634" s="221"/>
      <c r="O634" s="221"/>
      <c r="P634" s="221"/>
    </row>
    <row r="635" spans="1:16" ht="15">
      <c r="A635" s="217"/>
      <c r="B635" s="218"/>
      <c r="C635" s="221"/>
      <c r="D635" s="222"/>
      <c r="E635" s="223"/>
      <c r="F635" s="221"/>
      <c r="G635" s="221"/>
      <c r="H635" s="191"/>
      <c r="I635" s="191"/>
      <c r="J635" s="191"/>
      <c r="K635" s="191"/>
      <c r="L635" s="221"/>
      <c r="M635" s="221"/>
      <c r="N635" s="221"/>
      <c r="O635" s="221"/>
      <c r="P635" s="221"/>
    </row>
    <row r="636" spans="1:16" ht="15">
      <c r="A636" s="217"/>
      <c r="B636" s="218"/>
      <c r="C636" s="221"/>
      <c r="D636" s="222"/>
      <c r="E636" s="223"/>
      <c r="F636" s="221"/>
      <c r="G636" s="221"/>
      <c r="H636" s="191"/>
      <c r="I636" s="191"/>
      <c r="J636" s="191"/>
      <c r="K636" s="191"/>
      <c r="L636" s="221"/>
      <c r="M636" s="221"/>
      <c r="N636" s="221"/>
      <c r="O636" s="221"/>
      <c r="P636" s="221"/>
    </row>
    <row r="637" spans="1:16" ht="15">
      <c r="A637" s="217"/>
      <c r="B637" s="218"/>
      <c r="C637" s="221"/>
      <c r="D637" s="222"/>
      <c r="E637" s="223"/>
      <c r="F637" s="221"/>
      <c r="G637" s="221"/>
      <c r="H637" s="191"/>
      <c r="I637" s="191"/>
      <c r="J637" s="191"/>
      <c r="K637" s="191"/>
      <c r="L637" s="221"/>
      <c r="M637" s="221"/>
      <c r="N637" s="221"/>
      <c r="O637" s="221"/>
      <c r="P637" s="221"/>
    </row>
    <row r="638" spans="1:16" ht="15">
      <c r="A638" s="217"/>
      <c r="B638" s="218"/>
      <c r="C638" s="221"/>
      <c r="D638" s="222"/>
      <c r="E638" s="223"/>
      <c r="F638" s="221"/>
      <c r="G638" s="221"/>
      <c r="H638" s="191"/>
      <c r="I638" s="191"/>
      <c r="J638" s="191"/>
      <c r="K638" s="191"/>
      <c r="L638" s="221"/>
      <c r="M638" s="221"/>
      <c r="N638" s="221"/>
      <c r="O638" s="221"/>
      <c r="P638" s="221"/>
    </row>
    <row r="639" spans="1:16" ht="15">
      <c r="A639" s="217"/>
      <c r="B639" s="218"/>
      <c r="C639" s="221"/>
      <c r="D639" s="222"/>
      <c r="E639" s="223"/>
      <c r="F639" s="221"/>
      <c r="G639" s="221"/>
      <c r="H639" s="191"/>
      <c r="I639" s="191"/>
      <c r="J639" s="191"/>
      <c r="K639" s="191"/>
      <c r="L639" s="221"/>
      <c r="M639" s="221"/>
      <c r="N639" s="221"/>
      <c r="O639" s="221"/>
      <c r="P639" s="221"/>
    </row>
    <row r="640" spans="1:16" ht="15">
      <c r="A640" s="217"/>
      <c r="B640" s="218"/>
      <c r="C640" s="221"/>
      <c r="D640" s="222"/>
      <c r="E640" s="223"/>
      <c r="F640" s="221"/>
      <c r="G640" s="221"/>
      <c r="H640" s="191"/>
      <c r="I640" s="191"/>
      <c r="J640" s="191"/>
      <c r="K640" s="191"/>
      <c r="L640" s="221"/>
      <c r="M640" s="221"/>
      <c r="N640" s="221"/>
      <c r="O640" s="221"/>
      <c r="P640" s="221"/>
    </row>
    <row r="641" spans="1:16" ht="15">
      <c r="A641" s="217"/>
      <c r="B641" s="218"/>
      <c r="C641" s="221"/>
      <c r="D641" s="222"/>
      <c r="E641" s="223"/>
      <c r="F641" s="221"/>
      <c r="G641" s="221"/>
      <c r="H641" s="191"/>
      <c r="I641" s="191"/>
      <c r="J641" s="191"/>
      <c r="K641" s="191"/>
      <c r="L641" s="221"/>
      <c r="M641" s="221"/>
      <c r="N641" s="221"/>
      <c r="O641" s="221"/>
      <c r="P641" s="221"/>
    </row>
    <row r="642" spans="1:16" ht="15">
      <c r="A642" s="217"/>
      <c r="B642" s="218"/>
      <c r="C642" s="221"/>
      <c r="D642" s="222"/>
      <c r="E642" s="223"/>
      <c r="F642" s="221"/>
      <c r="G642" s="221"/>
      <c r="H642" s="191"/>
      <c r="I642" s="191"/>
      <c r="J642" s="191"/>
      <c r="K642" s="191"/>
      <c r="L642" s="221"/>
      <c r="M642" s="221"/>
      <c r="N642" s="221"/>
      <c r="O642" s="221"/>
      <c r="P642" s="221"/>
    </row>
    <row r="643" spans="1:16" ht="15">
      <c r="A643" s="217"/>
      <c r="B643" s="218"/>
      <c r="C643" s="221"/>
      <c r="D643" s="222"/>
      <c r="E643" s="223"/>
      <c r="F643" s="221"/>
      <c r="G643" s="221"/>
      <c r="H643" s="191"/>
      <c r="I643" s="191"/>
      <c r="J643" s="191"/>
      <c r="K643" s="191"/>
      <c r="L643" s="221"/>
      <c r="M643" s="221"/>
      <c r="N643" s="221"/>
      <c r="O643" s="221"/>
      <c r="P643" s="221"/>
    </row>
    <row r="644" spans="1:16" ht="15">
      <c r="A644" s="217"/>
      <c r="B644" s="218"/>
      <c r="C644" s="221"/>
      <c r="D644" s="222"/>
      <c r="E644" s="223"/>
      <c r="F644" s="221"/>
      <c r="G644" s="221"/>
      <c r="H644" s="191"/>
      <c r="I644" s="191"/>
      <c r="J644" s="191"/>
      <c r="K644" s="191"/>
      <c r="L644" s="221"/>
      <c r="M644" s="221"/>
      <c r="N644" s="221"/>
      <c r="O644" s="221"/>
      <c r="P644" s="221"/>
    </row>
    <row r="645" spans="1:16" ht="15">
      <c r="A645" s="217"/>
      <c r="B645" s="218"/>
      <c r="C645" s="221"/>
      <c r="D645" s="222"/>
      <c r="E645" s="223"/>
      <c r="F645" s="221"/>
      <c r="G645" s="221"/>
      <c r="H645" s="191"/>
      <c r="I645" s="191"/>
      <c r="J645" s="191"/>
      <c r="K645" s="191"/>
      <c r="L645" s="221"/>
      <c r="M645" s="221"/>
      <c r="N645" s="221"/>
      <c r="O645" s="221"/>
      <c r="P645" s="221"/>
    </row>
    <row r="646" spans="1:16" ht="15">
      <c r="A646" s="217"/>
      <c r="B646" s="218"/>
      <c r="C646" s="221"/>
      <c r="D646" s="222"/>
      <c r="E646" s="223"/>
      <c r="F646" s="221"/>
      <c r="G646" s="221"/>
      <c r="H646" s="191"/>
      <c r="I646" s="191"/>
      <c r="J646" s="191"/>
      <c r="K646" s="191"/>
      <c r="L646" s="221"/>
      <c r="M646" s="221"/>
      <c r="N646" s="221"/>
      <c r="O646" s="221"/>
      <c r="P646" s="221"/>
    </row>
    <row r="647" spans="1:16" ht="15">
      <c r="A647" s="217"/>
      <c r="B647" s="218"/>
      <c r="C647" s="221"/>
      <c r="D647" s="222"/>
      <c r="E647" s="223"/>
      <c r="F647" s="221"/>
      <c r="G647" s="221"/>
      <c r="H647" s="191"/>
      <c r="I647" s="191"/>
      <c r="J647" s="191"/>
      <c r="K647" s="191"/>
      <c r="L647" s="221"/>
      <c r="M647" s="221"/>
      <c r="N647" s="221"/>
      <c r="O647" s="221"/>
      <c r="P647" s="221"/>
    </row>
    <row r="648" spans="1:16" ht="15">
      <c r="A648" s="217"/>
      <c r="B648" s="218"/>
      <c r="C648" s="221"/>
      <c r="D648" s="222"/>
      <c r="E648" s="223"/>
      <c r="F648" s="221"/>
      <c r="G648" s="221"/>
      <c r="H648" s="191"/>
      <c r="I648" s="191"/>
      <c r="J648" s="191"/>
      <c r="K648" s="191"/>
      <c r="L648" s="221"/>
      <c r="M648" s="221"/>
      <c r="N648" s="221"/>
      <c r="O648" s="221"/>
      <c r="P648" s="221"/>
    </row>
    <row r="649" spans="1:16" ht="15">
      <c r="A649" s="217"/>
      <c r="B649" s="218"/>
      <c r="C649" s="221"/>
      <c r="D649" s="222"/>
      <c r="E649" s="223"/>
      <c r="F649" s="221"/>
      <c r="G649" s="221"/>
      <c r="H649" s="191"/>
      <c r="I649" s="191"/>
      <c r="J649" s="191"/>
      <c r="K649" s="191"/>
      <c r="L649" s="221"/>
      <c r="M649" s="221"/>
      <c r="N649" s="221"/>
      <c r="O649" s="221"/>
      <c r="P649" s="221"/>
    </row>
    <row r="650" spans="1:16" ht="15">
      <c r="A650" s="217"/>
      <c r="B650" s="218"/>
      <c r="C650" s="221"/>
      <c r="D650" s="222"/>
      <c r="E650" s="223"/>
      <c r="F650" s="221"/>
      <c r="G650" s="221"/>
      <c r="H650" s="191"/>
      <c r="I650" s="191"/>
      <c r="J650" s="191"/>
      <c r="K650" s="191"/>
      <c r="L650" s="221"/>
      <c r="M650" s="221"/>
      <c r="N650" s="221"/>
      <c r="O650" s="221"/>
      <c r="P650" s="221"/>
    </row>
    <row r="651" spans="1:16" ht="15">
      <c r="A651" s="217"/>
      <c r="B651" s="218"/>
      <c r="C651" s="221"/>
      <c r="D651" s="222"/>
      <c r="E651" s="223"/>
      <c r="F651" s="221"/>
      <c r="G651" s="221"/>
      <c r="H651" s="191"/>
      <c r="I651" s="191"/>
      <c r="J651" s="191"/>
      <c r="K651" s="191"/>
      <c r="L651" s="221"/>
      <c r="M651" s="221"/>
      <c r="N651" s="221"/>
      <c r="O651" s="221"/>
      <c r="P651" s="221"/>
    </row>
    <row r="652" spans="1:16" ht="15">
      <c r="A652" s="217"/>
      <c r="B652" s="218"/>
      <c r="C652" s="221"/>
      <c r="D652" s="222"/>
      <c r="E652" s="223"/>
      <c r="F652" s="221"/>
      <c r="G652" s="221"/>
      <c r="H652" s="191"/>
      <c r="I652" s="191"/>
      <c r="J652" s="191"/>
      <c r="K652" s="191"/>
      <c r="L652" s="221"/>
      <c r="M652" s="221"/>
      <c r="N652" s="221"/>
      <c r="O652" s="221"/>
      <c r="P652" s="221"/>
    </row>
    <row r="653" spans="1:16" ht="15">
      <c r="A653" s="217"/>
      <c r="B653" s="218"/>
      <c r="C653" s="221"/>
      <c r="D653" s="222"/>
      <c r="E653" s="223"/>
      <c r="F653" s="221"/>
      <c r="G653" s="221"/>
      <c r="H653" s="191"/>
      <c r="I653" s="191"/>
      <c r="J653" s="191"/>
      <c r="K653" s="191"/>
      <c r="L653" s="221"/>
      <c r="M653" s="221"/>
      <c r="N653" s="221"/>
      <c r="O653" s="221"/>
      <c r="P653" s="221"/>
    </row>
    <row r="654" spans="1:16" ht="15">
      <c r="A654" s="217"/>
      <c r="B654" s="218"/>
      <c r="C654" s="221"/>
      <c r="D654" s="222"/>
      <c r="E654" s="223"/>
      <c r="F654" s="221"/>
      <c r="G654" s="221"/>
      <c r="H654" s="191"/>
      <c r="I654" s="191"/>
      <c r="J654" s="191"/>
      <c r="K654" s="191"/>
      <c r="L654" s="221"/>
      <c r="M654" s="221"/>
      <c r="N654" s="221"/>
      <c r="O654" s="221"/>
      <c r="P654" s="221"/>
    </row>
    <row r="655" spans="1:16" ht="15">
      <c r="A655" s="217"/>
      <c r="B655" s="218"/>
      <c r="C655" s="221"/>
      <c r="D655" s="222"/>
      <c r="E655" s="223"/>
      <c r="F655" s="221"/>
      <c r="G655" s="221"/>
      <c r="H655" s="191"/>
      <c r="I655" s="191"/>
      <c r="J655" s="191"/>
      <c r="K655" s="191"/>
      <c r="L655" s="221"/>
      <c r="M655" s="221"/>
      <c r="N655" s="221"/>
      <c r="O655" s="221"/>
      <c r="P655" s="221"/>
    </row>
    <row r="656" spans="1:16" ht="15">
      <c r="A656" s="217"/>
      <c r="B656" s="218"/>
      <c r="C656" s="221"/>
      <c r="D656" s="222"/>
      <c r="E656" s="223"/>
      <c r="F656" s="221"/>
      <c r="G656" s="221"/>
      <c r="H656" s="191"/>
      <c r="I656" s="191"/>
      <c r="J656" s="191"/>
      <c r="K656" s="191"/>
      <c r="L656" s="221"/>
      <c r="M656" s="221"/>
      <c r="N656" s="221"/>
      <c r="O656" s="221"/>
      <c r="P656" s="221"/>
    </row>
    <row r="657" spans="1:16" ht="15">
      <c r="A657" s="217"/>
      <c r="B657" s="218"/>
      <c r="C657" s="221"/>
      <c r="D657" s="222"/>
      <c r="E657" s="223"/>
      <c r="F657" s="221"/>
      <c r="G657" s="221"/>
      <c r="H657" s="191"/>
      <c r="I657" s="191"/>
      <c r="J657" s="191"/>
      <c r="K657" s="191"/>
      <c r="L657" s="221"/>
      <c r="M657" s="221"/>
      <c r="N657" s="221"/>
      <c r="O657" s="221"/>
      <c r="P657" s="221"/>
    </row>
    <row r="658" spans="1:16" ht="15">
      <c r="A658" s="217"/>
      <c r="B658" s="218"/>
      <c r="C658" s="221"/>
      <c r="D658" s="222"/>
      <c r="E658" s="223"/>
      <c r="F658" s="221"/>
      <c r="G658" s="221"/>
      <c r="H658" s="191"/>
      <c r="I658" s="191"/>
      <c r="J658" s="191"/>
      <c r="K658" s="191"/>
      <c r="L658" s="221"/>
      <c r="M658" s="221"/>
      <c r="N658" s="221"/>
      <c r="O658" s="221"/>
      <c r="P658" s="221"/>
    </row>
    <row r="659" spans="1:16" ht="15">
      <c r="A659" s="217"/>
      <c r="B659" s="218"/>
      <c r="C659" s="221"/>
      <c r="D659" s="222"/>
      <c r="E659" s="223"/>
      <c r="F659" s="221"/>
      <c r="G659" s="221"/>
      <c r="H659" s="191"/>
      <c r="I659" s="191"/>
      <c r="J659" s="191"/>
      <c r="K659" s="191"/>
      <c r="L659" s="221"/>
      <c r="M659" s="221"/>
      <c r="N659" s="221"/>
      <c r="O659" s="221"/>
      <c r="P659" s="221"/>
    </row>
    <row r="660" spans="1:16" ht="15">
      <c r="A660" s="217"/>
      <c r="B660" s="218"/>
      <c r="C660" s="221"/>
      <c r="D660" s="222"/>
      <c r="E660" s="223"/>
      <c r="F660" s="221"/>
      <c r="G660" s="221"/>
      <c r="H660" s="191"/>
      <c r="I660" s="191"/>
      <c r="J660" s="191"/>
      <c r="K660" s="191"/>
      <c r="L660" s="221"/>
      <c r="M660" s="221"/>
      <c r="N660" s="221"/>
      <c r="O660" s="221"/>
      <c r="P660" s="221"/>
    </row>
    <row r="661" spans="1:16" ht="15">
      <c r="A661" s="217"/>
      <c r="B661" s="218"/>
      <c r="C661" s="221"/>
      <c r="D661" s="222"/>
      <c r="E661" s="223"/>
      <c r="F661" s="221"/>
      <c r="G661" s="221"/>
      <c r="H661" s="191"/>
      <c r="I661" s="191"/>
      <c r="J661" s="191"/>
      <c r="K661" s="191"/>
      <c r="L661" s="221"/>
      <c r="M661" s="221"/>
      <c r="N661" s="221"/>
      <c r="O661" s="221"/>
      <c r="P661" s="221"/>
    </row>
    <row r="662" spans="1:16" ht="15">
      <c r="A662" s="217"/>
      <c r="B662" s="218"/>
      <c r="C662" s="221"/>
      <c r="D662" s="222"/>
      <c r="E662" s="223"/>
      <c r="F662" s="221"/>
      <c r="G662" s="221"/>
      <c r="H662" s="191"/>
      <c r="I662" s="191"/>
      <c r="J662" s="191"/>
      <c r="K662" s="191"/>
      <c r="L662" s="221"/>
      <c r="M662" s="221"/>
      <c r="N662" s="221"/>
      <c r="O662" s="221"/>
      <c r="P662" s="221"/>
    </row>
    <row r="663" spans="1:16" ht="15">
      <c r="A663" s="217"/>
      <c r="B663" s="218"/>
      <c r="C663" s="221"/>
      <c r="D663" s="222"/>
      <c r="E663" s="223"/>
      <c r="F663" s="221"/>
      <c r="G663" s="221"/>
      <c r="H663" s="191"/>
      <c r="I663" s="191"/>
      <c r="J663" s="191"/>
      <c r="K663" s="191"/>
      <c r="L663" s="221"/>
      <c r="M663" s="221"/>
      <c r="N663" s="221"/>
      <c r="O663" s="221"/>
      <c r="P663" s="221"/>
    </row>
    <row r="664" spans="1:16" ht="15">
      <c r="A664" s="217"/>
      <c r="B664" s="218"/>
      <c r="C664" s="221"/>
      <c r="D664" s="222"/>
      <c r="E664" s="223"/>
      <c r="F664" s="221"/>
      <c r="G664" s="221"/>
      <c r="H664" s="191"/>
      <c r="I664" s="191"/>
      <c r="J664" s="191"/>
      <c r="K664" s="191"/>
      <c r="L664" s="221"/>
      <c r="M664" s="221"/>
      <c r="N664" s="221"/>
      <c r="O664" s="221"/>
      <c r="P664" s="221"/>
    </row>
    <row r="665" spans="1:16" ht="15">
      <c r="A665" s="217"/>
      <c r="B665" s="218"/>
      <c r="C665" s="221"/>
      <c r="D665" s="222"/>
      <c r="E665" s="223"/>
      <c r="F665" s="221"/>
      <c r="G665" s="221"/>
      <c r="H665" s="191"/>
      <c r="I665" s="191"/>
      <c r="J665" s="191"/>
      <c r="K665" s="191"/>
      <c r="L665" s="221"/>
      <c r="M665" s="221"/>
      <c r="N665" s="221"/>
      <c r="O665" s="221"/>
      <c r="P665" s="221"/>
    </row>
    <row r="666" spans="1:16" ht="15">
      <c r="A666" s="217"/>
      <c r="B666" s="218"/>
      <c r="C666" s="221"/>
      <c r="D666" s="222"/>
      <c r="E666" s="223"/>
      <c r="F666" s="221"/>
      <c r="G666" s="221"/>
      <c r="H666" s="191"/>
      <c r="I666" s="191"/>
      <c r="J666" s="191"/>
      <c r="K666" s="191"/>
      <c r="L666" s="221"/>
      <c r="M666" s="221"/>
      <c r="N666" s="221"/>
      <c r="O666" s="221"/>
      <c r="P666" s="221"/>
    </row>
    <row r="667" spans="1:16" ht="15">
      <c r="A667" s="217"/>
      <c r="B667" s="218"/>
      <c r="C667" s="221"/>
      <c r="D667" s="222"/>
      <c r="E667" s="223"/>
      <c r="F667" s="221"/>
      <c r="G667" s="221"/>
      <c r="H667" s="191"/>
      <c r="I667" s="191"/>
      <c r="J667" s="191"/>
      <c r="K667" s="191"/>
      <c r="L667" s="221"/>
      <c r="M667" s="221"/>
      <c r="N667" s="221"/>
      <c r="O667" s="221"/>
      <c r="P667" s="221"/>
    </row>
    <row r="668" spans="1:16" ht="15">
      <c r="A668" s="217"/>
      <c r="B668" s="218"/>
      <c r="C668" s="221"/>
      <c r="D668" s="222"/>
      <c r="E668" s="223"/>
      <c r="F668" s="221"/>
      <c r="G668" s="221"/>
      <c r="H668" s="191"/>
      <c r="I668" s="191"/>
      <c r="J668" s="191"/>
      <c r="K668" s="191"/>
      <c r="L668" s="221"/>
      <c r="M668" s="221"/>
      <c r="N668" s="221"/>
      <c r="O668" s="221"/>
      <c r="P668" s="221"/>
    </row>
    <row r="669" spans="1:16" ht="15">
      <c r="A669" s="217"/>
      <c r="B669" s="218"/>
      <c r="C669" s="221"/>
      <c r="D669" s="222"/>
      <c r="E669" s="223"/>
      <c r="F669" s="221"/>
      <c r="G669" s="221"/>
      <c r="H669" s="191"/>
      <c r="I669" s="191"/>
      <c r="J669" s="191"/>
      <c r="K669" s="191"/>
      <c r="L669" s="221"/>
      <c r="M669" s="221"/>
      <c r="N669" s="221"/>
      <c r="O669" s="221"/>
      <c r="P669" s="221"/>
    </row>
    <row r="670" spans="1:16" ht="15">
      <c r="A670" s="217"/>
      <c r="B670" s="218"/>
      <c r="C670" s="221"/>
      <c r="D670" s="222"/>
      <c r="E670" s="223"/>
      <c r="F670" s="221"/>
      <c r="G670" s="221"/>
      <c r="H670" s="191"/>
      <c r="I670" s="191"/>
      <c r="J670" s="191"/>
      <c r="K670" s="191"/>
      <c r="L670" s="221"/>
      <c r="M670" s="221"/>
      <c r="N670" s="221"/>
      <c r="O670" s="221"/>
      <c r="P670" s="221"/>
    </row>
    <row r="671" spans="1:16" ht="15">
      <c r="A671" s="217"/>
      <c r="B671" s="218"/>
      <c r="C671" s="221"/>
      <c r="D671" s="222"/>
      <c r="E671" s="223"/>
      <c r="F671" s="221"/>
      <c r="G671" s="221"/>
      <c r="H671" s="191"/>
      <c r="I671" s="191"/>
      <c r="J671" s="191"/>
      <c r="K671" s="191"/>
      <c r="L671" s="221"/>
      <c r="M671" s="221"/>
      <c r="N671" s="221"/>
      <c r="O671" s="221"/>
      <c r="P671" s="221"/>
    </row>
    <row r="672" spans="1:16" ht="15">
      <c r="A672" s="217"/>
      <c r="B672" s="218"/>
      <c r="C672" s="221"/>
      <c r="D672" s="222"/>
      <c r="E672" s="223"/>
      <c r="F672" s="221"/>
      <c r="G672" s="221"/>
      <c r="H672" s="191"/>
      <c r="I672" s="191"/>
      <c r="J672" s="191"/>
      <c r="K672" s="191"/>
      <c r="L672" s="221"/>
      <c r="M672" s="221"/>
      <c r="N672" s="221"/>
      <c r="O672" s="221"/>
      <c r="P672" s="221"/>
    </row>
    <row r="673" spans="1:16" ht="15">
      <c r="A673" s="217"/>
      <c r="B673" s="218"/>
      <c r="C673" s="221"/>
      <c r="D673" s="222"/>
      <c r="E673" s="223"/>
      <c r="F673" s="221"/>
      <c r="G673" s="221"/>
      <c r="H673" s="191"/>
      <c r="I673" s="191"/>
      <c r="J673" s="191"/>
      <c r="K673" s="191"/>
      <c r="L673" s="221"/>
      <c r="M673" s="221"/>
      <c r="N673" s="221"/>
      <c r="O673" s="221"/>
      <c r="P673" s="221"/>
    </row>
    <row r="674" spans="1:16" ht="15">
      <c r="A674" s="217"/>
      <c r="B674" s="218"/>
      <c r="C674" s="221"/>
      <c r="D674" s="222"/>
      <c r="E674" s="223"/>
      <c r="F674" s="221"/>
      <c r="G674" s="221"/>
      <c r="H674" s="191"/>
      <c r="I674" s="191"/>
      <c r="J674" s="191"/>
      <c r="K674" s="191"/>
      <c r="L674" s="221"/>
      <c r="M674" s="221"/>
      <c r="N674" s="221"/>
      <c r="O674" s="221"/>
      <c r="P674" s="221"/>
    </row>
    <row r="675" spans="1:16" ht="15">
      <c r="A675" s="217"/>
      <c r="B675" s="218"/>
      <c r="C675" s="221"/>
      <c r="D675" s="222"/>
      <c r="E675" s="223"/>
      <c r="F675" s="221"/>
      <c r="G675" s="221"/>
      <c r="H675" s="191"/>
      <c r="I675" s="191"/>
      <c r="J675" s="191"/>
      <c r="K675" s="191"/>
      <c r="L675" s="221"/>
      <c r="M675" s="221"/>
      <c r="N675" s="221"/>
      <c r="O675" s="221"/>
      <c r="P675" s="221"/>
    </row>
    <row r="676" spans="1:16" ht="15">
      <c r="A676" s="217"/>
      <c r="B676" s="218"/>
      <c r="C676" s="221"/>
      <c r="D676" s="222"/>
      <c r="E676" s="223"/>
      <c r="F676" s="221"/>
      <c r="G676" s="221"/>
      <c r="H676" s="191"/>
      <c r="I676" s="191"/>
      <c r="J676" s="191"/>
      <c r="K676" s="191"/>
      <c r="L676" s="221"/>
      <c r="M676" s="221"/>
      <c r="N676" s="221"/>
      <c r="O676" s="221"/>
      <c r="P676" s="221"/>
    </row>
    <row r="677" spans="1:16" ht="15">
      <c r="A677" s="217"/>
      <c r="B677" s="218"/>
      <c r="C677" s="221"/>
      <c r="D677" s="222"/>
      <c r="E677" s="223"/>
      <c r="F677" s="221"/>
      <c r="G677" s="221"/>
      <c r="H677" s="191"/>
      <c r="I677" s="191"/>
      <c r="J677" s="191"/>
      <c r="K677" s="191"/>
      <c r="L677" s="221"/>
      <c r="M677" s="221"/>
      <c r="N677" s="221"/>
      <c r="O677" s="221"/>
      <c r="P677" s="221"/>
    </row>
    <row r="678" spans="1:16" ht="15">
      <c r="A678" s="217"/>
      <c r="B678" s="218"/>
      <c r="C678" s="221"/>
      <c r="D678" s="222"/>
      <c r="E678" s="223"/>
      <c r="F678" s="221"/>
      <c r="G678" s="221"/>
      <c r="H678" s="191"/>
      <c r="I678" s="191"/>
      <c r="J678" s="191"/>
      <c r="K678" s="191"/>
      <c r="L678" s="221"/>
      <c r="M678" s="221"/>
      <c r="N678" s="221"/>
      <c r="O678" s="221"/>
      <c r="P678" s="221"/>
    </row>
    <row r="679" spans="1:16" ht="15">
      <c r="A679" s="217"/>
      <c r="B679" s="218"/>
      <c r="C679" s="221"/>
      <c r="D679" s="222"/>
      <c r="E679" s="223"/>
      <c r="F679" s="221"/>
      <c r="G679" s="221"/>
      <c r="H679" s="191"/>
      <c r="I679" s="191"/>
      <c r="J679" s="191"/>
      <c r="K679" s="191"/>
      <c r="L679" s="221"/>
      <c r="M679" s="221"/>
      <c r="N679" s="221"/>
      <c r="O679" s="221"/>
      <c r="P679" s="221"/>
    </row>
    <row r="680" spans="1:16" ht="15">
      <c r="A680" s="217"/>
      <c r="B680" s="218"/>
      <c r="C680" s="221"/>
      <c r="D680" s="222"/>
      <c r="E680" s="223"/>
      <c r="F680" s="221"/>
      <c r="G680" s="221"/>
      <c r="H680" s="191"/>
      <c r="I680" s="191"/>
      <c r="J680" s="191"/>
      <c r="K680" s="191"/>
      <c r="L680" s="221"/>
      <c r="M680" s="221"/>
      <c r="N680" s="221"/>
      <c r="O680" s="221"/>
      <c r="P680" s="221"/>
    </row>
    <row r="681" spans="1:16" ht="15">
      <c r="A681" s="217"/>
      <c r="B681" s="218"/>
      <c r="C681" s="221"/>
      <c r="D681" s="222"/>
      <c r="E681" s="223"/>
      <c r="F681" s="221"/>
      <c r="G681" s="221"/>
      <c r="H681" s="191"/>
      <c r="I681" s="191"/>
      <c r="J681" s="191"/>
      <c r="K681" s="191"/>
      <c r="L681" s="221"/>
      <c r="M681" s="221"/>
      <c r="N681" s="221"/>
      <c r="O681" s="221"/>
      <c r="P681" s="221"/>
    </row>
    <row r="682" spans="1:16" ht="15">
      <c r="A682" s="217"/>
      <c r="B682" s="218"/>
      <c r="C682" s="221"/>
      <c r="D682" s="222"/>
      <c r="E682" s="223"/>
      <c r="F682" s="221"/>
      <c r="G682" s="221"/>
      <c r="H682" s="191"/>
      <c r="I682" s="191"/>
      <c r="J682" s="191"/>
      <c r="K682" s="191"/>
      <c r="L682" s="221"/>
      <c r="M682" s="221"/>
      <c r="N682" s="221"/>
      <c r="O682" s="221"/>
      <c r="P682" s="221"/>
    </row>
    <row r="683" spans="1:16" ht="15">
      <c r="A683" s="217"/>
      <c r="B683" s="218"/>
      <c r="C683" s="221"/>
      <c r="D683" s="222"/>
      <c r="E683" s="223"/>
      <c r="F683" s="221"/>
      <c r="G683" s="221"/>
      <c r="H683" s="191"/>
      <c r="I683" s="191"/>
      <c r="J683" s="191"/>
      <c r="K683" s="191"/>
      <c r="L683" s="221"/>
      <c r="M683" s="221"/>
      <c r="N683" s="221"/>
      <c r="O683" s="221"/>
      <c r="P683" s="221"/>
    </row>
    <row r="684" spans="1:16" ht="15">
      <c r="A684" s="217"/>
      <c r="B684" s="218"/>
      <c r="C684" s="221"/>
      <c r="D684" s="222"/>
      <c r="E684" s="223"/>
      <c r="F684" s="221"/>
      <c r="G684" s="221"/>
      <c r="H684" s="191"/>
      <c r="I684" s="191"/>
      <c r="J684" s="191"/>
      <c r="K684" s="191"/>
      <c r="L684" s="221"/>
      <c r="M684" s="221"/>
      <c r="N684" s="221"/>
      <c r="O684" s="221"/>
      <c r="P684" s="221"/>
    </row>
    <row r="685" spans="1:16" ht="15">
      <c r="A685" s="217"/>
      <c r="B685" s="218"/>
      <c r="C685" s="221"/>
      <c r="D685" s="222"/>
      <c r="E685" s="223"/>
      <c r="F685" s="221"/>
      <c r="G685" s="221"/>
      <c r="H685" s="191"/>
      <c r="I685" s="191"/>
      <c r="J685" s="191"/>
      <c r="K685" s="191"/>
      <c r="L685" s="221"/>
      <c r="M685" s="221"/>
      <c r="N685" s="221"/>
      <c r="O685" s="221"/>
      <c r="P685" s="221"/>
    </row>
    <row r="686" spans="1:16" ht="15">
      <c r="A686" s="217"/>
      <c r="B686" s="218"/>
      <c r="C686" s="221"/>
      <c r="D686" s="222"/>
      <c r="E686" s="223"/>
      <c r="F686" s="221"/>
      <c r="G686" s="221"/>
      <c r="H686" s="191"/>
      <c r="I686" s="191"/>
      <c r="J686" s="191"/>
      <c r="K686" s="191"/>
      <c r="L686" s="221"/>
      <c r="M686" s="221"/>
      <c r="N686" s="221"/>
      <c r="O686" s="221"/>
      <c r="P686" s="221"/>
    </row>
    <row r="687" spans="1:16" ht="15">
      <c r="A687" s="217"/>
      <c r="B687" s="218"/>
      <c r="C687" s="221"/>
      <c r="D687" s="222"/>
      <c r="E687" s="223"/>
      <c r="F687" s="221"/>
      <c r="G687" s="221"/>
      <c r="H687" s="191"/>
      <c r="I687" s="191"/>
      <c r="J687" s="191"/>
      <c r="K687" s="191"/>
      <c r="L687" s="221"/>
      <c r="M687" s="221"/>
      <c r="N687" s="221"/>
      <c r="O687" s="221"/>
      <c r="P687" s="221"/>
    </row>
    <row r="688" spans="1:16" ht="15">
      <c r="A688" s="217"/>
      <c r="B688" s="218"/>
      <c r="C688" s="221"/>
      <c r="D688" s="222"/>
      <c r="E688" s="223"/>
      <c r="F688" s="221"/>
      <c r="G688" s="221"/>
      <c r="H688" s="191"/>
      <c r="I688" s="191"/>
      <c r="J688" s="191"/>
      <c r="K688" s="191"/>
      <c r="L688" s="221"/>
      <c r="M688" s="221"/>
      <c r="N688" s="221"/>
      <c r="O688" s="221"/>
      <c r="P688" s="221"/>
    </row>
    <row r="689" spans="1:16" ht="15">
      <c r="A689" s="217"/>
      <c r="B689" s="218"/>
      <c r="C689" s="221"/>
      <c r="D689" s="222"/>
      <c r="E689" s="223"/>
      <c r="F689" s="221"/>
      <c r="G689" s="221"/>
      <c r="H689" s="191"/>
      <c r="I689" s="191"/>
      <c r="J689" s="191"/>
      <c r="K689" s="191"/>
      <c r="L689" s="221"/>
      <c r="M689" s="221"/>
      <c r="N689" s="221"/>
      <c r="O689" s="221"/>
      <c r="P689" s="221"/>
    </row>
    <row r="690" spans="1:16" ht="15">
      <c r="A690" s="217"/>
      <c r="B690" s="218"/>
      <c r="C690" s="221"/>
      <c r="D690" s="222"/>
      <c r="E690" s="223"/>
      <c r="F690" s="221"/>
      <c r="G690" s="221"/>
      <c r="H690" s="191"/>
      <c r="I690" s="191"/>
      <c r="J690" s="191"/>
      <c r="K690" s="191"/>
      <c r="L690" s="221"/>
      <c r="M690" s="221"/>
      <c r="N690" s="221"/>
      <c r="O690" s="221"/>
      <c r="P690" s="221"/>
    </row>
    <row r="691" spans="1:16" ht="15">
      <c r="A691" s="217"/>
      <c r="B691" s="218"/>
      <c r="C691" s="221"/>
      <c r="D691" s="222"/>
      <c r="E691" s="223"/>
      <c r="F691" s="221"/>
      <c r="G691" s="221"/>
      <c r="H691" s="191"/>
      <c r="I691" s="191"/>
      <c r="J691" s="191"/>
      <c r="K691" s="191"/>
      <c r="L691" s="221"/>
      <c r="M691" s="221"/>
      <c r="N691" s="221"/>
      <c r="O691" s="221"/>
      <c r="P691" s="221"/>
    </row>
    <row r="692" spans="1:16" ht="15">
      <c r="A692" s="217"/>
      <c r="B692" s="218"/>
      <c r="C692" s="221"/>
      <c r="D692" s="222"/>
      <c r="E692" s="223"/>
      <c r="F692" s="221"/>
      <c r="G692" s="221"/>
      <c r="H692" s="191"/>
      <c r="I692" s="191"/>
      <c r="J692" s="191"/>
      <c r="K692" s="191"/>
      <c r="L692" s="221"/>
      <c r="M692" s="221"/>
      <c r="N692" s="221"/>
      <c r="O692" s="221"/>
      <c r="P692" s="221"/>
    </row>
    <row r="693" spans="1:16" ht="15">
      <c r="A693" s="217"/>
      <c r="B693" s="218"/>
      <c r="C693" s="221"/>
      <c r="D693" s="222"/>
      <c r="E693" s="223"/>
      <c r="F693" s="221"/>
      <c r="G693" s="221"/>
      <c r="H693" s="191"/>
      <c r="I693" s="191"/>
      <c r="J693" s="191"/>
      <c r="K693" s="191"/>
      <c r="L693" s="221"/>
      <c r="M693" s="221"/>
      <c r="N693" s="221"/>
      <c r="O693" s="221"/>
      <c r="P693" s="221"/>
    </row>
    <row r="694" spans="1:16" ht="15">
      <c r="A694" s="217"/>
      <c r="B694" s="218"/>
      <c r="C694" s="221"/>
      <c r="D694" s="222"/>
      <c r="E694" s="223"/>
      <c r="F694" s="221"/>
      <c r="G694" s="221"/>
      <c r="H694" s="191"/>
      <c r="I694" s="191"/>
      <c r="J694" s="191"/>
      <c r="K694" s="191"/>
      <c r="L694" s="221"/>
      <c r="M694" s="221"/>
      <c r="N694" s="221"/>
      <c r="O694" s="221"/>
      <c r="P694" s="221"/>
    </row>
    <row r="695" spans="1:16" ht="15">
      <c r="A695" s="217"/>
      <c r="B695" s="218"/>
      <c r="C695" s="221"/>
      <c r="D695" s="222"/>
      <c r="E695" s="223"/>
      <c r="F695" s="221"/>
      <c r="G695" s="221"/>
      <c r="H695" s="191"/>
      <c r="I695" s="191"/>
      <c r="J695" s="191"/>
      <c r="K695" s="191"/>
      <c r="L695" s="221"/>
      <c r="M695" s="221"/>
      <c r="N695" s="221"/>
      <c r="O695" s="221"/>
      <c r="P695" s="221"/>
    </row>
    <row r="696" spans="1:16" ht="15">
      <c r="A696" s="217"/>
      <c r="B696" s="218"/>
      <c r="C696" s="221"/>
      <c r="D696" s="222"/>
      <c r="E696" s="223"/>
      <c r="F696" s="221"/>
      <c r="G696" s="221"/>
      <c r="H696" s="191"/>
      <c r="I696" s="191"/>
      <c r="J696" s="191"/>
      <c r="K696" s="191"/>
      <c r="L696" s="221"/>
      <c r="M696" s="221"/>
      <c r="N696" s="221"/>
      <c r="O696" s="221"/>
      <c r="P696" s="221"/>
    </row>
    <row r="697" spans="1:16" ht="15">
      <c r="A697" s="217"/>
      <c r="B697" s="218"/>
      <c r="C697" s="221"/>
      <c r="D697" s="222"/>
      <c r="E697" s="223"/>
      <c r="F697" s="221"/>
      <c r="G697" s="221"/>
      <c r="H697" s="191"/>
      <c r="I697" s="191"/>
      <c r="J697" s="191"/>
      <c r="K697" s="191"/>
      <c r="L697" s="221"/>
      <c r="M697" s="221"/>
      <c r="N697" s="221"/>
      <c r="O697" s="221"/>
      <c r="P697" s="221"/>
    </row>
    <row r="698" spans="1:16" ht="15">
      <c r="A698" s="217"/>
      <c r="B698" s="218"/>
      <c r="C698" s="221"/>
      <c r="D698" s="222"/>
      <c r="E698" s="223"/>
      <c r="F698" s="221"/>
      <c r="G698" s="221"/>
      <c r="H698" s="191"/>
      <c r="I698" s="191"/>
      <c r="J698" s="191"/>
      <c r="K698" s="191"/>
      <c r="L698" s="221"/>
      <c r="M698" s="221"/>
      <c r="N698" s="221"/>
      <c r="O698" s="221"/>
      <c r="P698" s="221"/>
    </row>
    <row r="699" spans="1:16" ht="15">
      <c r="A699" s="217"/>
      <c r="B699" s="218"/>
      <c r="C699" s="221"/>
      <c r="D699" s="222"/>
      <c r="E699" s="223"/>
      <c r="F699" s="221"/>
      <c r="G699" s="221"/>
      <c r="H699" s="191"/>
      <c r="I699" s="191"/>
      <c r="J699" s="191"/>
      <c r="K699" s="191"/>
      <c r="L699" s="221"/>
      <c r="M699" s="221"/>
      <c r="N699" s="221"/>
      <c r="O699" s="221"/>
      <c r="P699" s="221"/>
    </row>
    <row r="700" spans="1:16" ht="15">
      <c r="A700" s="217"/>
      <c r="B700" s="218"/>
      <c r="C700" s="221"/>
      <c r="D700" s="222"/>
      <c r="E700" s="223"/>
      <c r="F700" s="221"/>
      <c r="G700" s="221"/>
      <c r="H700" s="191"/>
      <c r="I700" s="191"/>
      <c r="J700" s="191"/>
      <c r="K700" s="191"/>
      <c r="L700" s="221"/>
      <c r="M700" s="221"/>
      <c r="N700" s="221"/>
      <c r="O700" s="221"/>
      <c r="P700" s="221"/>
    </row>
    <row r="701" spans="1:16" ht="15">
      <c r="A701" s="217"/>
      <c r="B701" s="218"/>
      <c r="C701" s="221"/>
      <c r="D701" s="222"/>
      <c r="E701" s="223"/>
      <c r="F701" s="221"/>
      <c r="G701" s="221"/>
      <c r="H701" s="191"/>
      <c r="I701" s="191"/>
      <c r="J701" s="191"/>
      <c r="K701" s="191"/>
      <c r="L701" s="221"/>
      <c r="M701" s="221"/>
      <c r="N701" s="221"/>
      <c r="O701" s="221"/>
      <c r="P701" s="221"/>
    </row>
    <row r="702" spans="1:16" ht="15">
      <c r="A702" s="217"/>
      <c r="B702" s="218"/>
      <c r="C702" s="221"/>
      <c r="D702" s="222"/>
      <c r="E702" s="223"/>
      <c r="F702" s="221"/>
      <c r="G702" s="221"/>
      <c r="H702" s="191"/>
      <c r="I702" s="191"/>
      <c r="J702" s="191"/>
      <c r="K702" s="191"/>
      <c r="L702" s="221"/>
      <c r="M702" s="221"/>
      <c r="N702" s="221"/>
      <c r="O702" s="221"/>
      <c r="P702" s="221"/>
    </row>
    <row r="703" spans="1:16" ht="15">
      <c r="A703" s="217"/>
      <c r="B703" s="218"/>
      <c r="C703" s="221"/>
      <c r="D703" s="222"/>
      <c r="E703" s="223"/>
      <c r="F703" s="221"/>
      <c r="G703" s="221"/>
      <c r="H703" s="191"/>
      <c r="I703" s="191"/>
      <c r="J703" s="191"/>
      <c r="K703" s="191"/>
      <c r="L703" s="221"/>
      <c r="M703" s="221"/>
      <c r="N703" s="221"/>
      <c r="O703" s="221"/>
      <c r="P703" s="221"/>
    </row>
    <row r="704" spans="1:16" ht="15">
      <c r="A704" s="217"/>
      <c r="B704" s="218"/>
      <c r="C704" s="221"/>
      <c r="D704" s="222"/>
      <c r="E704" s="223"/>
      <c r="F704" s="221"/>
      <c r="G704" s="221"/>
      <c r="H704" s="191"/>
      <c r="I704" s="191"/>
      <c r="J704" s="191"/>
      <c r="K704" s="191"/>
      <c r="L704" s="221"/>
      <c r="M704" s="221"/>
      <c r="N704" s="221"/>
      <c r="O704" s="221"/>
      <c r="P704" s="221"/>
    </row>
    <row r="705" spans="1:16" ht="15">
      <c r="A705" s="217"/>
      <c r="B705" s="218"/>
      <c r="C705" s="221"/>
      <c r="D705" s="222"/>
      <c r="E705" s="223"/>
      <c r="F705" s="221"/>
      <c r="G705" s="221"/>
      <c r="H705" s="191"/>
      <c r="I705" s="191"/>
      <c r="J705" s="191"/>
      <c r="K705" s="191"/>
      <c r="L705" s="221"/>
      <c r="M705" s="221"/>
      <c r="N705" s="221"/>
      <c r="O705" s="221"/>
      <c r="P705" s="221"/>
    </row>
    <row r="706" spans="1:16" ht="15">
      <c r="A706" s="217"/>
      <c r="B706" s="218"/>
      <c r="C706" s="221"/>
      <c r="D706" s="222"/>
      <c r="E706" s="223"/>
      <c r="F706" s="221"/>
      <c r="G706" s="221"/>
      <c r="H706" s="191"/>
      <c r="I706" s="191"/>
      <c r="J706" s="191"/>
      <c r="K706" s="191"/>
      <c r="L706" s="221"/>
      <c r="M706" s="221"/>
      <c r="N706" s="221"/>
      <c r="O706" s="221"/>
      <c r="P706" s="221"/>
    </row>
    <row r="707" spans="1:16" ht="15">
      <c r="A707" s="217"/>
      <c r="B707" s="218"/>
      <c r="C707" s="221"/>
      <c r="D707" s="222"/>
      <c r="E707" s="223"/>
      <c r="F707" s="221"/>
      <c r="G707" s="221"/>
      <c r="H707" s="191"/>
      <c r="I707" s="191"/>
      <c r="J707" s="191"/>
      <c r="K707" s="191"/>
      <c r="L707" s="221"/>
      <c r="M707" s="221"/>
      <c r="N707" s="221"/>
      <c r="O707" s="221"/>
      <c r="P707" s="221"/>
    </row>
    <row r="708" spans="1:16" ht="15">
      <c r="A708" s="217"/>
      <c r="B708" s="218"/>
      <c r="C708" s="221"/>
      <c r="D708" s="222"/>
      <c r="E708" s="223"/>
      <c r="F708" s="221"/>
      <c r="G708" s="221"/>
      <c r="H708" s="191"/>
      <c r="I708" s="191"/>
      <c r="J708" s="191"/>
      <c r="K708" s="191"/>
      <c r="L708" s="221"/>
      <c r="M708" s="221"/>
      <c r="N708" s="221"/>
      <c r="O708" s="221"/>
      <c r="P708" s="221"/>
    </row>
    <row r="709" spans="1:16" ht="15">
      <c r="A709" s="217"/>
      <c r="B709" s="218"/>
      <c r="C709" s="221"/>
      <c r="D709" s="222"/>
      <c r="E709" s="223"/>
      <c r="F709" s="221"/>
      <c r="G709" s="221"/>
      <c r="H709" s="191"/>
      <c r="I709" s="191"/>
      <c r="J709" s="191"/>
      <c r="K709" s="191"/>
      <c r="L709" s="221"/>
      <c r="M709" s="221"/>
      <c r="N709" s="221"/>
      <c r="O709" s="221"/>
      <c r="P709" s="221"/>
    </row>
    <row r="710" spans="1:16" ht="15">
      <c r="A710" s="217"/>
      <c r="B710" s="218"/>
      <c r="C710" s="221"/>
      <c r="D710" s="222"/>
      <c r="E710" s="223"/>
      <c r="F710" s="221"/>
      <c r="G710" s="221"/>
      <c r="H710" s="191"/>
      <c r="I710" s="191"/>
      <c r="J710" s="191"/>
      <c r="K710" s="191"/>
      <c r="L710" s="221"/>
      <c r="M710" s="221"/>
      <c r="N710" s="221"/>
      <c r="O710" s="221"/>
      <c r="P710" s="221"/>
    </row>
    <row r="711" spans="1:16" ht="15">
      <c r="A711" s="217"/>
      <c r="B711" s="218"/>
      <c r="C711" s="221"/>
      <c r="D711" s="222"/>
      <c r="E711" s="223"/>
      <c r="F711" s="221"/>
      <c r="G711" s="221"/>
      <c r="H711" s="191"/>
      <c r="I711" s="191"/>
      <c r="J711" s="191"/>
      <c r="K711" s="191"/>
      <c r="L711" s="221"/>
      <c r="M711" s="221"/>
      <c r="N711" s="221"/>
      <c r="O711" s="221"/>
      <c r="P711" s="221"/>
    </row>
    <row r="712" spans="1:16" ht="15">
      <c r="A712" s="217"/>
      <c r="B712" s="218"/>
      <c r="C712" s="221"/>
      <c r="D712" s="222"/>
      <c r="E712" s="223"/>
      <c r="F712" s="221"/>
      <c r="G712" s="221"/>
      <c r="H712" s="191"/>
      <c r="I712" s="191"/>
      <c r="J712" s="191"/>
      <c r="K712" s="191"/>
      <c r="L712" s="221"/>
      <c r="M712" s="221"/>
      <c r="N712" s="221"/>
      <c r="O712" s="221"/>
      <c r="P712" s="221"/>
    </row>
    <row r="713" spans="1:16" ht="15">
      <c r="A713" s="217"/>
      <c r="B713" s="218"/>
      <c r="C713" s="221"/>
      <c r="D713" s="222"/>
      <c r="E713" s="223"/>
      <c r="F713" s="221"/>
      <c r="G713" s="221"/>
      <c r="H713" s="191"/>
      <c r="I713" s="191"/>
      <c r="J713" s="191"/>
      <c r="K713" s="191"/>
      <c r="L713" s="221"/>
      <c r="M713" s="221"/>
      <c r="N713" s="221"/>
      <c r="O713" s="221"/>
      <c r="P713" s="221"/>
    </row>
    <row r="714" spans="1:16" ht="15">
      <c r="A714" s="217"/>
      <c r="B714" s="218"/>
      <c r="C714" s="221"/>
      <c r="D714" s="222"/>
      <c r="E714" s="223"/>
      <c r="F714" s="221"/>
      <c r="G714" s="221"/>
      <c r="H714" s="191"/>
      <c r="I714" s="191"/>
      <c r="J714" s="191"/>
      <c r="K714" s="191"/>
      <c r="L714" s="221"/>
      <c r="M714" s="221"/>
      <c r="N714" s="221"/>
      <c r="O714" s="221"/>
      <c r="P714" s="221"/>
    </row>
    <row r="715" spans="1:16" ht="15">
      <c r="A715" s="217"/>
      <c r="B715" s="218"/>
      <c r="C715" s="221"/>
      <c r="D715" s="222"/>
      <c r="E715" s="223"/>
      <c r="F715" s="221"/>
      <c r="G715" s="221"/>
      <c r="H715" s="191"/>
      <c r="I715" s="191"/>
      <c r="J715" s="191"/>
      <c r="K715" s="191"/>
      <c r="L715" s="221"/>
      <c r="M715" s="221"/>
      <c r="N715" s="221"/>
      <c r="O715" s="221"/>
      <c r="P715" s="221"/>
    </row>
    <row r="716" spans="1:16" ht="15">
      <c r="A716" s="217"/>
      <c r="B716" s="218"/>
      <c r="C716" s="221"/>
      <c r="D716" s="222"/>
      <c r="E716" s="223"/>
      <c r="F716" s="221"/>
      <c r="G716" s="221"/>
      <c r="H716" s="191"/>
      <c r="I716" s="191"/>
      <c r="J716" s="191"/>
      <c r="K716" s="191"/>
      <c r="L716" s="221"/>
      <c r="M716" s="221"/>
      <c r="N716" s="221"/>
      <c r="O716" s="221"/>
      <c r="P716" s="221"/>
    </row>
    <row r="717" spans="1:16" ht="15">
      <c r="A717" s="217"/>
      <c r="B717" s="218"/>
      <c r="C717" s="221"/>
      <c r="D717" s="222"/>
      <c r="E717" s="223"/>
      <c r="F717" s="221"/>
      <c r="G717" s="221"/>
      <c r="H717" s="191"/>
      <c r="I717" s="191"/>
      <c r="J717" s="191"/>
      <c r="K717" s="191"/>
      <c r="L717" s="221"/>
      <c r="M717" s="221"/>
      <c r="N717" s="221"/>
      <c r="O717" s="221"/>
      <c r="P717" s="221"/>
    </row>
    <row r="718" spans="1:16" ht="15">
      <c r="A718" s="217"/>
      <c r="B718" s="218"/>
      <c r="C718" s="221"/>
      <c r="D718" s="222"/>
      <c r="E718" s="223"/>
      <c r="F718" s="221"/>
      <c r="G718" s="221"/>
      <c r="H718" s="191"/>
      <c r="I718" s="191"/>
      <c r="J718" s="191"/>
      <c r="K718" s="191"/>
      <c r="L718" s="221"/>
      <c r="M718" s="221"/>
      <c r="N718" s="221"/>
      <c r="O718" s="221"/>
      <c r="P718" s="221"/>
    </row>
    <row r="719" spans="1:16" ht="15">
      <c r="A719" s="217"/>
      <c r="B719" s="218"/>
      <c r="C719" s="221"/>
      <c r="D719" s="222"/>
      <c r="E719" s="223"/>
      <c r="F719" s="221"/>
      <c r="G719" s="221"/>
      <c r="H719" s="191"/>
      <c r="I719" s="191"/>
      <c r="J719" s="191"/>
      <c r="K719" s="191"/>
      <c r="L719" s="221"/>
      <c r="M719" s="221"/>
      <c r="N719" s="221"/>
      <c r="O719" s="221"/>
      <c r="P719" s="221"/>
    </row>
    <row r="720" spans="1:16" ht="15">
      <c r="A720" s="217"/>
      <c r="B720" s="218"/>
      <c r="C720" s="221"/>
      <c r="D720" s="222"/>
      <c r="E720" s="223"/>
      <c r="F720" s="221"/>
      <c r="G720" s="221"/>
      <c r="H720" s="191"/>
      <c r="I720" s="191"/>
      <c r="J720" s="191"/>
      <c r="K720" s="191"/>
      <c r="L720" s="221"/>
      <c r="M720" s="221"/>
      <c r="N720" s="221"/>
      <c r="O720" s="221"/>
      <c r="P720" s="221"/>
    </row>
    <row r="721" spans="1:16" ht="15">
      <c r="A721" s="217"/>
      <c r="B721" s="218"/>
      <c r="C721" s="221"/>
      <c r="D721" s="222"/>
      <c r="E721" s="223"/>
      <c r="F721" s="221"/>
      <c r="G721" s="221"/>
      <c r="H721" s="191"/>
      <c r="I721" s="191"/>
      <c r="J721" s="191"/>
      <c r="K721" s="191"/>
      <c r="L721" s="221"/>
      <c r="M721" s="221"/>
      <c r="N721" s="221"/>
      <c r="O721" s="221"/>
      <c r="P721" s="221"/>
    </row>
    <row r="722" spans="1:16" ht="15">
      <c r="A722" s="217"/>
      <c r="B722" s="218"/>
      <c r="C722" s="221"/>
      <c r="D722" s="222"/>
      <c r="E722" s="223"/>
      <c r="F722" s="221"/>
      <c r="G722" s="221"/>
      <c r="H722" s="191"/>
      <c r="I722" s="191"/>
      <c r="J722" s="191"/>
      <c r="K722" s="191"/>
      <c r="L722" s="221"/>
      <c r="M722" s="221"/>
      <c r="N722" s="221"/>
      <c r="O722" s="221"/>
      <c r="P722" s="221"/>
    </row>
    <row r="723" spans="1:16" ht="15">
      <c r="A723" s="217"/>
      <c r="B723" s="218"/>
      <c r="C723" s="221"/>
      <c r="D723" s="222"/>
      <c r="E723" s="223"/>
      <c r="F723" s="221"/>
      <c r="G723" s="221"/>
      <c r="H723" s="191"/>
      <c r="I723" s="191"/>
      <c r="J723" s="191"/>
      <c r="K723" s="191"/>
      <c r="L723" s="221"/>
      <c r="M723" s="221"/>
      <c r="N723" s="221"/>
      <c r="O723" s="221"/>
      <c r="P723" s="221"/>
    </row>
    <row r="724" spans="1:16" ht="15">
      <c r="A724" s="217"/>
      <c r="B724" s="218"/>
      <c r="C724" s="221"/>
      <c r="D724" s="222"/>
      <c r="E724" s="223"/>
      <c r="F724" s="221"/>
      <c r="G724" s="221"/>
      <c r="H724" s="191"/>
      <c r="I724" s="191"/>
      <c r="J724" s="191"/>
      <c r="K724" s="191"/>
      <c r="L724" s="221"/>
      <c r="M724" s="221"/>
      <c r="N724" s="221"/>
      <c r="O724" s="221"/>
      <c r="P724" s="221"/>
    </row>
    <row r="725" spans="1:16" ht="15">
      <c r="A725" s="217"/>
      <c r="B725" s="218"/>
      <c r="C725" s="221"/>
      <c r="D725" s="222"/>
      <c r="E725" s="223"/>
      <c r="F725" s="221"/>
      <c r="G725" s="221"/>
      <c r="H725" s="191"/>
      <c r="I725" s="191"/>
      <c r="J725" s="191"/>
      <c r="K725" s="191"/>
      <c r="L725" s="221"/>
      <c r="M725" s="221"/>
      <c r="N725" s="221"/>
      <c r="O725" s="221"/>
      <c r="P725" s="221"/>
    </row>
    <row r="726" spans="1:16" ht="15">
      <c r="A726" s="217"/>
      <c r="B726" s="218"/>
      <c r="C726" s="221"/>
      <c r="D726" s="222"/>
      <c r="E726" s="223"/>
      <c r="F726" s="221"/>
      <c r="G726" s="221"/>
      <c r="H726" s="191"/>
      <c r="I726" s="191"/>
      <c r="J726" s="191"/>
      <c r="K726" s="191"/>
      <c r="L726" s="221"/>
      <c r="M726" s="221"/>
      <c r="N726" s="221"/>
      <c r="O726" s="221"/>
      <c r="P726" s="221"/>
    </row>
    <row r="727" spans="1:16" ht="15">
      <c r="A727" s="217"/>
      <c r="B727" s="218"/>
      <c r="C727" s="221"/>
      <c r="D727" s="222"/>
      <c r="E727" s="223"/>
      <c r="F727" s="221"/>
      <c r="G727" s="221"/>
      <c r="H727" s="191"/>
      <c r="I727" s="191"/>
      <c r="J727" s="191"/>
      <c r="K727" s="191"/>
      <c r="L727" s="221"/>
      <c r="M727" s="221"/>
      <c r="N727" s="221"/>
      <c r="O727" s="221"/>
      <c r="P727" s="221"/>
    </row>
    <row r="728" spans="1:16" ht="15">
      <c r="A728" s="217"/>
      <c r="B728" s="218"/>
      <c r="C728" s="221"/>
      <c r="D728" s="222"/>
      <c r="E728" s="223"/>
      <c r="F728" s="221"/>
      <c r="G728" s="221"/>
      <c r="H728" s="191"/>
      <c r="I728" s="191"/>
      <c r="J728" s="191"/>
      <c r="K728" s="191"/>
      <c r="L728" s="221"/>
      <c r="M728" s="221"/>
      <c r="N728" s="221"/>
      <c r="O728" s="221"/>
      <c r="P728" s="221"/>
    </row>
    <row r="729" spans="1:16" ht="15">
      <c r="A729" s="217"/>
      <c r="B729" s="218"/>
      <c r="C729" s="221"/>
      <c r="D729" s="222"/>
      <c r="E729" s="223"/>
      <c r="F729" s="221"/>
      <c r="G729" s="221"/>
      <c r="H729" s="191"/>
      <c r="I729" s="191"/>
      <c r="J729" s="191"/>
      <c r="K729" s="191"/>
      <c r="L729" s="221"/>
      <c r="M729" s="221"/>
      <c r="N729" s="221"/>
      <c r="O729" s="221"/>
      <c r="P729" s="221"/>
    </row>
    <row r="730" spans="1:16" ht="15">
      <c r="A730" s="217"/>
      <c r="B730" s="218"/>
      <c r="C730" s="221"/>
      <c r="D730" s="222"/>
      <c r="E730" s="223"/>
      <c r="F730" s="221"/>
      <c r="G730" s="221"/>
      <c r="H730" s="191"/>
      <c r="I730" s="191"/>
      <c r="J730" s="191"/>
      <c r="K730" s="191"/>
      <c r="L730" s="221"/>
      <c r="M730" s="221"/>
      <c r="N730" s="221"/>
      <c r="O730" s="221"/>
      <c r="P730" s="221"/>
    </row>
    <row r="731" spans="1:16" ht="15">
      <c r="A731" s="217"/>
      <c r="B731" s="218"/>
      <c r="C731" s="221"/>
      <c r="D731" s="222"/>
      <c r="E731" s="223"/>
      <c r="F731" s="221"/>
      <c r="G731" s="221"/>
      <c r="H731" s="191"/>
      <c r="I731" s="191"/>
      <c r="J731" s="191"/>
      <c r="K731" s="191"/>
      <c r="L731" s="221"/>
      <c r="M731" s="221"/>
      <c r="N731" s="221"/>
      <c r="O731" s="221"/>
      <c r="P731" s="221"/>
    </row>
    <row r="732" spans="1:16" ht="15">
      <c r="A732" s="217"/>
      <c r="B732" s="218"/>
      <c r="C732" s="221"/>
      <c r="D732" s="222"/>
      <c r="E732" s="223"/>
      <c r="F732" s="221"/>
      <c r="G732" s="221"/>
      <c r="H732" s="191"/>
      <c r="I732" s="191"/>
      <c r="J732" s="191"/>
      <c r="K732" s="191"/>
      <c r="L732" s="221"/>
      <c r="M732" s="221"/>
      <c r="N732" s="221"/>
      <c r="O732" s="221"/>
      <c r="P732" s="221"/>
    </row>
    <row r="733" spans="1:16" ht="15">
      <c r="A733" s="217"/>
      <c r="B733" s="218"/>
      <c r="C733" s="221"/>
      <c r="D733" s="222"/>
      <c r="E733" s="223"/>
      <c r="F733" s="221"/>
      <c r="G733" s="221"/>
      <c r="H733" s="191"/>
      <c r="I733" s="191"/>
      <c r="J733" s="191"/>
      <c r="K733" s="191"/>
      <c r="L733" s="221"/>
      <c r="M733" s="221"/>
      <c r="N733" s="221"/>
      <c r="O733" s="221"/>
      <c r="P733" s="221"/>
    </row>
    <row r="734" spans="1:16" ht="15">
      <c r="A734" s="217"/>
      <c r="B734" s="218"/>
      <c r="C734" s="221"/>
      <c r="D734" s="222"/>
      <c r="E734" s="223"/>
      <c r="F734" s="221"/>
      <c r="G734" s="221"/>
      <c r="H734" s="191"/>
      <c r="I734" s="191"/>
      <c r="J734" s="191"/>
      <c r="K734" s="191"/>
      <c r="L734" s="221"/>
      <c r="M734" s="221"/>
      <c r="N734" s="221"/>
      <c r="O734" s="221"/>
      <c r="P734" s="221"/>
    </row>
    <row r="735" spans="1:16" ht="15">
      <c r="A735" s="217"/>
      <c r="B735" s="218"/>
      <c r="C735" s="221"/>
      <c r="D735" s="222"/>
      <c r="E735" s="223"/>
      <c r="F735" s="221"/>
      <c r="G735" s="221"/>
      <c r="H735" s="191"/>
      <c r="I735" s="191"/>
      <c r="J735" s="191"/>
      <c r="K735" s="191"/>
      <c r="L735" s="221"/>
      <c r="M735" s="221"/>
      <c r="N735" s="221"/>
      <c r="O735" s="221"/>
      <c r="P735" s="221"/>
    </row>
    <row r="736" spans="1:16" ht="15">
      <c r="A736" s="217"/>
      <c r="B736" s="218"/>
      <c r="C736" s="221"/>
      <c r="D736" s="222"/>
      <c r="E736" s="223"/>
      <c r="F736" s="221"/>
      <c r="G736" s="221"/>
      <c r="H736" s="191"/>
      <c r="I736" s="191"/>
      <c r="J736" s="191"/>
      <c r="K736" s="191"/>
      <c r="L736" s="221"/>
      <c r="M736" s="221"/>
      <c r="N736" s="221"/>
      <c r="O736" s="221"/>
      <c r="P736" s="221"/>
    </row>
    <row r="737" spans="1:16" ht="15">
      <c r="A737" s="217"/>
      <c r="B737" s="218"/>
      <c r="C737" s="221"/>
      <c r="D737" s="222"/>
      <c r="E737" s="223"/>
      <c r="F737" s="221"/>
      <c r="G737" s="221"/>
      <c r="H737" s="191"/>
      <c r="I737" s="191"/>
      <c r="J737" s="191"/>
      <c r="K737" s="191"/>
      <c r="L737" s="221"/>
      <c r="M737" s="221"/>
      <c r="N737" s="221"/>
      <c r="O737" s="221"/>
      <c r="P737" s="221"/>
    </row>
    <row r="738" spans="1:16" ht="15">
      <c r="A738" s="217"/>
      <c r="B738" s="218"/>
      <c r="C738" s="221"/>
      <c r="D738" s="222"/>
      <c r="E738" s="223"/>
      <c r="F738" s="221"/>
      <c r="G738" s="221"/>
      <c r="H738" s="191"/>
      <c r="I738" s="191"/>
      <c r="J738" s="191"/>
      <c r="K738" s="191"/>
      <c r="L738" s="221"/>
      <c r="M738" s="221"/>
      <c r="N738" s="221"/>
      <c r="O738" s="221"/>
      <c r="P738" s="221"/>
    </row>
    <row r="739" spans="1:16" ht="15">
      <c r="A739" s="217"/>
      <c r="B739" s="218"/>
      <c r="C739" s="221"/>
      <c r="D739" s="222"/>
      <c r="E739" s="223"/>
      <c r="F739" s="221"/>
      <c r="G739" s="221"/>
      <c r="H739" s="191"/>
      <c r="I739" s="191"/>
      <c r="J739" s="191"/>
      <c r="K739" s="191"/>
      <c r="L739" s="221"/>
      <c r="M739" s="221"/>
      <c r="N739" s="221"/>
      <c r="O739" s="221"/>
      <c r="P739" s="221"/>
    </row>
    <row r="740" spans="1:16" ht="15">
      <c r="A740" s="217"/>
      <c r="B740" s="218"/>
      <c r="C740" s="221"/>
      <c r="D740" s="222"/>
      <c r="E740" s="223"/>
      <c r="F740" s="221"/>
      <c r="G740" s="221"/>
      <c r="H740" s="191"/>
      <c r="I740" s="191"/>
      <c r="J740" s="191"/>
      <c r="K740" s="191"/>
      <c r="L740" s="221"/>
      <c r="M740" s="221"/>
      <c r="N740" s="221"/>
      <c r="O740" s="221"/>
      <c r="P740" s="221"/>
    </row>
    <row r="741" spans="1:16" ht="15">
      <c r="A741" s="217"/>
      <c r="B741" s="218"/>
      <c r="C741" s="221"/>
      <c r="D741" s="222"/>
      <c r="E741" s="223"/>
      <c r="F741" s="221"/>
      <c r="G741" s="221"/>
      <c r="H741" s="191"/>
      <c r="I741" s="191"/>
      <c r="J741" s="191"/>
      <c r="K741" s="191"/>
      <c r="L741" s="221"/>
      <c r="M741" s="221"/>
      <c r="N741" s="221"/>
      <c r="O741" s="221"/>
      <c r="P741" s="221"/>
    </row>
    <row r="742" spans="1:16" ht="15">
      <c r="A742" s="217"/>
      <c r="B742" s="218"/>
      <c r="C742" s="221"/>
      <c r="D742" s="222"/>
      <c r="E742" s="223"/>
      <c r="F742" s="221"/>
      <c r="G742" s="221"/>
      <c r="H742" s="191"/>
      <c r="I742" s="191"/>
      <c r="J742" s="191"/>
      <c r="K742" s="191"/>
      <c r="L742" s="221"/>
      <c r="M742" s="221"/>
      <c r="N742" s="221"/>
      <c r="O742" s="221"/>
      <c r="P742" s="221"/>
    </row>
    <row r="743" spans="1:16" ht="15">
      <c r="A743" s="217"/>
      <c r="B743" s="218"/>
      <c r="C743" s="221"/>
      <c r="D743" s="222"/>
      <c r="E743" s="223"/>
      <c r="F743" s="221"/>
      <c r="G743" s="221"/>
      <c r="H743" s="191"/>
      <c r="I743" s="191"/>
      <c r="J743" s="191"/>
      <c r="K743" s="191"/>
      <c r="L743" s="221"/>
      <c r="M743" s="221"/>
      <c r="N743" s="221"/>
      <c r="O743" s="221"/>
      <c r="P743" s="221"/>
    </row>
    <row r="744" spans="1:16" ht="15">
      <c r="A744" s="217"/>
      <c r="B744" s="218"/>
      <c r="C744" s="221"/>
      <c r="D744" s="222"/>
      <c r="E744" s="223"/>
      <c r="F744" s="221"/>
      <c r="G744" s="221"/>
      <c r="H744" s="191"/>
      <c r="I744" s="191"/>
      <c r="J744" s="191"/>
      <c r="K744" s="191"/>
      <c r="L744" s="221"/>
      <c r="M744" s="221"/>
      <c r="N744" s="221"/>
      <c r="O744" s="221"/>
      <c r="P744" s="221"/>
    </row>
    <row r="745" spans="1:16" ht="15">
      <c r="A745" s="217"/>
      <c r="B745" s="218"/>
      <c r="C745" s="221"/>
      <c r="D745" s="222"/>
      <c r="E745" s="223"/>
      <c r="F745" s="221"/>
      <c r="G745" s="221"/>
      <c r="H745" s="191"/>
      <c r="I745" s="191"/>
      <c r="J745" s="191"/>
      <c r="K745" s="191"/>
      <c r="L745" s="221"/>
      <c r="M745" s="221"/>
      <c r="N745" s="221"/>
      <c r="O745" s="221"/>
      <c r="P745" s="221"/>
    </row>
    <row r="746" spans="1:16" ht="15">
      <c r="A746" s="217"/>
      <c r="B746" s="218"/>
      <c r="C746" s="221"/>
      <c r="D746" s="222"/>
      <c r="E746" s="223"/>
      <c r="F746" s="221"/>
      <c r="G746" s="221"/>
      <c r="H746" s="191"/>
      <c r="I746" s="191"/>
      <c r="J746" s="191"/>
      <c r="K746" s="191"/>
      <c r="L746" s="221"/>
      <c r="M746" s="221"/>
      <c r="N746" s="221"/>
      <c r="O746" s="221"/>
      <c r="P746" s="221"/>
    </row>
    <row r="747" spans="1:16" ht="15">
      <c r="A747" s="217"/>
      <c r="B747" s="218"/>
      <c r="C747" s="221"/>
      <c r="D747" s="222"/>
      <c r="E747" s="223"/>
      <c r="F747" s="221"/>
      <c r="G747" s="221"/>
      <c r="H747" s="191"/>
      <c r="I747" s="191"/>
      <c r="J747" s="191"/>
      <c r="K747" s="191"/>
      <c r="L747" s="221"/>
      <c r="M747" s="221"/>
      <c r="N747" s="221"/>
      <c r="O747" s="221"/>
      <c r="P747" s="221"/>
    </row>
    <row r="748" spans="1:16" ht="15">
      <c r="A748" s="217"/>
      <c r="B748" s="218"/>
      <c r="C748" s="221"/>
      <c r="D748" s="222"/>
      <c r="E748" s="223"/>
      <c r="F748" s="221"/>
      <c r="G748" s="221"/>
      <c r="H748" s="191"/>
      <c r="I748" s="191"/>
      <c r="J748" s="191"/>
      <c r="K748" s="191"/>
      <c r="L748" s="221"/>
      <c r="M748" s="221"/>
      <c r="N748" s="221"/>
      <c r="O748" s="221"/>
      <c r="P748" s="221"/>
    </row>
    <row r="749" spans="1:16" ht="15">
      <c r="A749" s="217"/>
      <c r="B749" s="218"/>
      <c r="C749" s="221"/>
      <c r="D749" s="222"/>
      <c r="E749" s="223"/>
      <c r="F749" s="221"/>
      <c r="G749" s="221"/>
      <c r="H749" s="191"/>
      <c r="I749" s="191"/>
      <c r="J749" s="191"/>
      <c r="K749" s="191"/>
      <c r="L749" s="221"/>
      <c r="M749" s="221"/>
      <c r="N749" s="221"/>
      <c r="O749" s="221"/>
      <c r="P749" s="221"/>
    </row>
    <row r="750" spans="1:16" ht="15">
      <c r="A750" s="217"/>
      <c r="B750" s="218"/>
      <c r="C750" s="221"/>
      <c r="D750" s="222"/>
      <c r="E750" s="223"/>
      <c r="F750" s="221"/>
      <c r="G750" s="221"/>
      <c r="H750" s="191"/>
      <c r="I750" s="191"/>
      <c r="J750" s="191"/>
      <c r="K750" s="191"/>
      <c r="L750" s="221"/>
      <c r="M750" s="221"/>
      <c r="N750" s="221"/>
      <c r="O750" s="221"/>
      <c r="P750" s="221"/>
    </row>
    <row r="751" spans="1:16" ht="15">
      <c r="A751" s="217"/>
      <c r="B751" s="218"/>
      <c r="C751" s="221"/>
      <c r="D751" s="222"/>
      <c r="E751" s="223"/>
      <c r="F751" s="221"/>
      <c r="G751" s="221"/>
      <c r="H751" s="191"/>
      <c r="I751" s="191"/>
      <c r="J751" s="191"/>
      <c r="K751" s="191"/>
      <c r="L751" s="221"/>
      <c r="M751" s="221"/>
      <c r="N751" s="221"/>
      <c r="O751" s="221"/>
      <c r="P751" s="221"/>
    </row>
    <row r="752" spans="1:16" ht="15">
      <c r="A752" s="217"/>
      <c r="B752" s="218"/>
      <c r="C752" s="221"/>
      <c r="D752" s="222"/>
      <c r="E752" s="223"/>
      <c r="F752" s="221"/>
      <c r="G752" s="221"/>
      <c r="H752" s="191"/>
      <c r="I752" s="191"/>
      <c r="J752" s="191"/>
      <c r="K752" s="191"/>
      <c r="L752" s="221"/>
      <c r="M752" s="221"/>
      <c r="N752" s="221"/>
      <c r="O752" s="221"/>
      <c r="P752" s="221"/>
    </row>
    <row r="753" spans="1:16" ht="15">
      <c r="A753" s="217"/>
      <c r="B753" s="218"/>
      <c r="C753" s="221"/>
      <c r="D753" s="222"/>
      <c r="E753" s="223"/>
      <c r="F753" s="221"/>
      <c r="G753" s="221"/>
      <c r="H753" s="191"/>
      <c r="I753" s="191"/>
      <c r="J753" s="191"/>
      <c r="K753" s="191"/>
      <c r="L753" s="221"/>
      <c r="M753" s="221"/>
      <c r="N753" s="221"/>
      <c r="O753" s="221"/>
      <c r="P753" s="221"/>
    </row>
    <row r="754" spans="1:16" ht="15">
      <c r="A754" s="217"/>
      <c r="B754" s="218"/>
      <c r="C754" s="221"/>
      <c r="D754" s="222"/>
      <c r="E754" s="223"/>
      <c r="F754" s="221"/>
      <c r="G754" s="221"/>
      <c r="H754" s="191"/>
      <c r="I754" s="191"/>
      <c r="J754" s="191"/>
      <c r="K754" s="191"/>
      <c r="L754" s="221"/>
      <c r="M754" s="221"/>
      <c r="N754" s="221"/>
      <c r="O754" s="221"/>
      <c r="P754" s="221"/>
    </row>
    <row r="755" spans="1:16" ht="15">
      <c r="A755" s="217"/>
      <c r="B755" s="218"/>
      <c r="C755" s="221"/>
      <c r="D755" s="222"/>
      <c r="E755" s="223"/>
      <c r="F755" s="221"/>
      <c r="G755" s="221"/>
      <c r="H755" s="191"/>
      <c r="I755" s="191"/>
      <c r="J755" s="191"/>
      <c r="K755" s="191"/>
      <c r="L755" s="221"/>
      <c r="M755" s="221"/>
      <c r="N755" s="221"/>
      <c r="O755" s="221"/>
      <c r="P755" s="221"/>
    </row>
    <row r="756" spans="1:16" ht="15">
      <c r="A756" s="217"/>
      <c r="B756" s="218"/>
      <c r="C756" s="221"/>
      <c r="D756" s="222"/>
      <c r="E756" s="223"/>
      <c r="F756" s="221"/>
      <c r="G756" s="221"/>
      <c r="H756" s="191"/>
      <c r="I756" s="191"/>
      <c r="J756" s="191"/>
      <c r="K756" s="191"/>
      <c r="L756" s="221"/>
      <c r="M756" s="221"/>
      <c r="N756" s="221"/>
      <c r="O756" s="221"/>
      <c r="P756" s="221"/>
    </row>
    <row r="757" spans="1:16" ht="15">
      <c r="A757" s="217"/>
      <c r="B757" s="218"/>
      <c r="C757" s="221"/>
      <c r="D757" s="222"/>
      <c r="E757" s="223"/>
      <c r="F757" s="221"/>
      <c r="G757" s="221"/>
      <c r="H757" s="191"/>
      <c r="I757" s="191"/>
      <c r="J757" s="191"/>
      <c r="K757" s="191"/>
      <c r="L757" s="221"/>
      <c r="M757" s="221"/>
      <c r="N757" s="221"/>
      <c r="O757" s="221"/>
      <c r="P757" s="221"/>
    </row>
    <row r="758" spans="1:16" ht="15">
      <c r="A758" s="217"/>
      <c r="B758" s="218"/>
      <c r="C758" s="221"/>
      <c r="D758" s="222"/>
      <c r="E758" s="223"/>
      <c r="F758" s="221"/>
      <c r="G758" s="221"/>
      <c r="H758" s="191"/>
      <c r="I758" s="191"/>
      <c r="J758" s="191"/>
      <c r="K758" s="191"/>
      <c r="L758" s="221"/>
      <c r="M758" s="221"/>
      <c r="N758" s="221"/>
      <c r="O758" s="221"/>
      <c r="P758" s="221"/>
    </row>
    <row r="759" spans="1:16" ht="15">
      <c r="A759" s="217"/>
      <c r="B759" s="218"/>
      <c r="C759" s="221"/>
      <c r="D759" s="222"/>
      <c r="E759" s="223"/>
      <c r="F759" s="221"/>
      <c r="G759" s="221"/>
      <c r="H759" s="191"/>
      <c r="I759" s="191"/>
      <c r="J759" s="191"/>
      <c r="K759" s="191"/>
      <c r="L759" s="221"/>
      <c r="M759" s="221"/>
      <c r="N759" s="221"/>
      <c r="O759" s="221"/>
      <c r="P759" s="221"/>
    </row>
    <row r="760" spans="1:16" ht="15">
      <c r="A760" s="217"/>
      <c r="B760" s="218"/>
      <c r="C760" s="221"/>
      <c r="D760" s="222"/>
      <c r="E760" s="223"/>
      <c r="F760" s="221"/>
      <c r="G760" s="221"/>
      <c r="H760" s="191"/>
      <c r="I760" s="191"/>
      <c r="J760" s="191"/>
      <c r="K760" s="191"/>
      <c r="L760" s="221"/>
      <c r="M760" s="221"/>
      <c r="N760" s="221"/>
      <c r="O760" s="221"/>
      <c r="P760" s="221"/>
    </row>
    <row r="761" spans="1:16" ht="15">
      <c r="A761" s="217"/>
      <c r="B761" s="218"/>
      <c r="C761" s="221"/>
      <c r="D761" s="222"/>
      <c r="E761" s="223"/>
      <c r="F761" s="221"/>
      <c r="G761" s="221"/>
      <c r="H761" s="191"/>
      <c r="I761" s="191"/>
      <c r="J761" s="191"/>
      <c r="K761" s="191"/>
      <c r="L761" s="221"/>
      <c r="M761" s="221"/>
      <c r="N761" s="221"/>
      <c r="O761" s="221"/>
      <c r="P761" s="221"/>
    </row>
    <row r="762" spans="1:16" ht="15">
      <c r="A762" s="217"/>
      <c r="B762" s="218"/>
      <c r="C762" s="221"/>
      <c r="D762" s="222"/>
      <c r="E762" s="223"/>
      <c r="F762" s="221"/>
      <c r="G762" s="221"/>
      <c r="H762" s="191"/>
      <c r="I762" s="191"/>
      <c r="J762" s="191"/>
      <c r="K762" s="191"/>
      <c r="L762" s="221"/>
      <c r="M762" s="221"/>
      <c r="N762" s="221"/>
      <c r="O762" s="221"/>
      <c r="P762" s="221"/>
    </row>
    <row r="763" spans="1:16" ht="15">
      <c r="A763" s="217"/>
      <c r="B763" s="218"/>
      <c r="C763" s="221"/>
      <c r="D763" s="222"/>
      <c r="E763" s="223"/>
      <c r="F763" s="221"/>
      <c r="G763" s="221"/>
      <c r="H763" s="191"/>
      <c r="I763" s="191"/>
      <c r="J763" s="191"/>
      <c r="K763" s="191"/>
      <c r="L763" s="221"/>
      <c r="M763" s="221"/>
      <c r="N763" s="221"/>
      <c r="O763" s="221"/>
      <c r="P763" s="221"/>
    </row>
    <row r="764" spans="1:16" ht="15">
      <c r="A764" s="217"/>
      <c r="B764" s="218"/>
      <c r="C764" s="221"/>
      <c r="D764" s="222"/>
      <c r="E764" s="223"/>
      <c r="F764" s="221"/>
      <c r="G764" s="221"/>
      <c r="H764" s="191"/>
      <c r="I764" s="191"/>
      <c r="J764" s="191"/>
      <c r="K764" s="191"/>
      <c r="L764" s="221"/>
      <c r="M764" s="221"/>
      <c r="N764" s="221"/>
      <c r="O764" s="221"/>
      <c r="P764" s="221"/>
    </row>
    <row r="765" spans="1:16" ht="15">
      <c r="A765" s="217"/>
      <c r="B765" s="218"/>
      <c r="C765" s="221"/>
      <c r="D765" s="222"/>
      <c r="E765" s="223"/>
      <c r="F765" s="221"/>
      <c r="G765" s="221"/>
      <c r="H765" s="191"/>
      <c r="I765" s="191"/>
      <c r="J765" s="191"/>
      <c r="K765" s="191"/>
      <c r="L765" s="221"/>
      <c r="M765" s="221"/>
      <c r="N765" s="221"/>
      <c r="O765" s="221"/>
      <c r="P765" s="221"/>
    </row>
    <row r="766" spans="1:16" ht="15">
      <c r="A766" s="217"/>
      <c r="B766" s="218"/>
      <c r="C766" s="221"/>
      <c r="D766" s="222"/>
      <c r="E766" s="223"/>
      <c r="F766" s="221"/>
      <c r="G766" s="221"/>
      <c r="H766" s="191"/>
      <c r="I766" s="191"/>
      <c r="J766" s="191"/>
      <c r="K766" s="191"/>
      <c r="L766" s="221"/>
      <c r="M766" s="221"/>
      <c r="N766" s="221"/>
      <c r="O766" s="221"/>
      <c r="P766" s="221"/>
    </row>
    <row r="767" spans="1:16" ht="15">
      <c r="A767" s="217"/>
      <c r="B767" s="218"/>
      <c r="C767" s="221"/>
      <c r="D767" s="222"/>
      <c r="E767" s="223"/>
      <c r="F767" s="221"/>
      <c r="G767" s="221"/>
      <c r="H767" s="191"/>
      <c r="I767" s="191"/>
      <c r="J767" s="191"/>
      <c r="K767" s="191"/>
      <c r="L767" s="221"/>
      <c r="M767" s="221"/>
      <c r="N767" s="221"/>
      <c r="O767" s="221"/>
      <c r="P767" s="221"/>
    </row>
    <row r="768" spans="1:16" ht="15">
      <c r="A768" s="217"/>
      <c r="B768" s="218"/>
      <c r="C768" s="221"/>
      <c r="D768" s="222"/>
      <c r="E768" s="223"/>
      <c r="F768" s="221"/>
      <c r="G768" s="221"/>
      <c r="H768" s="191"/>
      <c r="I768" s="191"/>
      <c r="J768" s="191"/>
      <c r="K768" s="191"/>
      <c r="L768" s="221"/>
      <c r="M768" s="221"/>
      <c r="N768" s="221"/>
      <c r="O768" s="221"/>
      <c r="P768" s="221"/>
    </row>
    <row r="769" spans="1:16" ht="15">
      <c r="A769" s="217"/>
      <c r="B769" s="218"/>
      <c r="C769" s="221"/>
      <c r="D769" s="222"/>
      <c r="E769" s="223"/>
      <c r="F769" s="221"/>
      <c r="G769" s="221"/>
      <c r="H769" s="191"/>
      <c r="I769" s="191"/>
      <c r="J769" s="191"/>
      <c r="K769" s="191"/>
      <c r="L769" s="221"/>
      <c r="M769" s="221"/>
      <c r="N769" s="221"/>
      <c r="O769" s="221"/>
      <c r="P769" s="221"/>
    </row>
    <row r="770" spans="1:16" ht="15">
      <c r="A770" s="217"/>
      <c r="B770" s="218"/>
      <c r="C770" s="221"/>
      <c r="D770" s="222"/>
      <c r="E770" s="223"/>
      <c r="F770" s="221"/>
      <c r="G770" s="221"/>
      <c r="H770" s="191"/>
      <c r="I770" s="191"/>
      <c r="J770" s="191"/>
      <c r="K770" s="191"/>
      <c r="L770" s="221"/>
      <c r="M770" s="221"/>
      <c r="N770" s="221"/>
      <c r="O770" s="221"/>
      <c r="P770" s="221"/>
    </row>
    <row r="771" spans="1:16" ht="15">
      <c r="A771" s="217"/>
      <c r="B771" s="218"/>
      <c r="C771" s="221"/>
      <c r="D771" s="222"/>
      <c r="E771" s="223"/>
      <c r="F771" s="221"/>
      <c r="G771" s="221"/>
      <c r="H771" s="191"/>
      <c r="I771" s="191"/>
      <c r="J771" s="191"/>
      <c r="K771" s="191"/>
      <c r="L771" s="221"/>
      <c r="M771" s="221"/>
      <c r="N771" s="221"/>
      <c r="O771" s="221"/>
      <c r="P771" s="221"/>
    </row>
    <row r="772" spans="1:16" ht="15">
      <c r="A772" s="217"/>
      <c r="B772" s="218"/>
      <c r="C772" s="221"/>
      <c r="D772" s="222"/>
      <c r="E772" s="223"/>
      <c r="F772" s="221"/>
      <c r="G772" s="221"/>
      <c r="H772" s="191"/>
      <c r="I772" s="191"/>
      <c r="J772" s="191"/>
      <c r="K772" s="191"/>
      <c r="L772" s="221"/>
      <c r="M772" s="221"/>
      <c r="N772" s="221"/>
      <c r="O772" s="221"/>
      <c r="P772" s="221"/>
    </row>
    <row r="773" spans="1:16" ht="15">
      <c r="A773" s="217"/>
      <c r="B773" s="218"/>
      <c r="C773" s="221"/>
      <c r="D773" s="222"/>
      <c r="E773" s="223"/>
      <c r="F773" s="221"/>
      <c r="G773" s="221"/>
      <c r="H773" s="191"/>
      <c r="I773" s="191"/>
      <c r="J773" s="191"/>
      <c r="K773" s="191"/>
      <c r="L773" s="221"/>
      <c r="M773" s="221"/>
      <c r="N773" s="221"/>
      <c r="O773" s="221"/>
      <c r="P773" s="221"/>
    </row>
    <row r="774" spans="1:16" ht="15">
      <c r="A774" s="217"/>
      <c r="B774" s="218"/>
      <c r="C774" s="221"/>
      <c r="D774" s="222"/>
      <c r="E774" s="223"/>
      <c r="F774" s="221"/>
      <c r="G774" s="221"/>
      <c r="H774" s="191"/>
      <c r="I774" s="191"/>
      <c r="J774" s="191"/>
      <c r="K774" s="191"/>
      <c r="L774" s="221"/>
      <c r="M774" s="221"/>
      <c r="N774" s="221"/>
      <c r="O774" s="221"/>
      <c r="P774" s="221"/>
    </row>
    <row r="775" spans="1:16" ht="15">
      <c r="A775" s="217"/>
      <c r="B775" s="218"/>
      <c r="C775" s="221"/>
      <c r="D775" s="222"/>
      <c r="E775" s="223"/>
      <c r="F775" s="221"/>
      <c r="G775" s="221"/>
      <c r="H775" s="191"/>
      <c r="I775" s="191"/>
      <c r="J775" s="191"/>
      <c r="K775" s="191"/>
      <c r="L775" s="221"/>
      <c r="M775" s="221"/>
      <c r="N775" s="221"/>
      <c r="O775" s="221"/>
      <c r="P775" s="221"/>
    </row>
    <row r="776" spans="1:16" ht="15">
      <c r="A776" s="217"/>
      <c r="B776" s="218"/>
      <c r="C776" s="221"/>
      <c r="D776" s="222"/>
      <c r="E776" s="223"/>
      <c r="F776" s="221"/>
      <c r="G776" s="221"/>
      <c r="H776" s="191"/>
      <c r="I776" s="191"/>
      <c r="J776" s="191"/>
      <c r="K776" s="191"/>
      <c r="L776" s="221"/>
      <c r="M776" s="221"/>
      <c r="N776" s="221"/>
      <c r="O776" s="221"/>
      <c r="P776" s="221"/>
    </row>
    <row r="777" spans="1:16" ht="15">
      <c r="A777" s="217"/>
      <c r="B777" s="218"/>
      <c r="C777" s="221"/>
      <c r="D777" s="222"/>
      <c r="E777" s="223"/>
      <c r="F777" s="221"/>
      <c r="G777" s="221"/>
      <c r="H777" s="191"/>
      <c r="I777" s="191"/>
      <c r="J777" s="191"/>
      <c r="K777" s="191"/>
      <c r="L777" s="221"/>
      <c r="M777" s="221"/>
      <c r="N777" s="221"/>
      <c r="O777" s="221"/>
      <c r="P777" s="221"/>
    </row>
    <row r="778" spans="1:16" ht="15">
      <c r="A778" s="217"/>
      <c r="B778" s="218"/>
      <c r="C778" s="221"/>
      <c r="D778" s="222"/>
      <c r="E778" s="223"/>
      <c r="F778" s="221"/>
      <c r="G778" s="221"/>
      <c r="H778" s="191"/>
      <c r="I778" s="191"/>
      <c r="J778" s="191"/>
      <c r="K778" s="191"/>
      <c r="L778" s="221"/>
      <c r="M778" s="221"/>
      <c r="N778" s="221"/>
      <c r="O778" s="221"/>
      <c r="P778" s="221"/>
    </row>
    <row r="779" spans="1:16" ht="15">
      <c r="A779" s="217"/>
      <c r="B779" s="218"/>
      <c r="C779" s="221"/>
      <c r="D779" s="222"/>
      <c r="E779" s="223"/>
      <c r="F779" s="221"/>
      <c r="G779" s="221"/>
      <c r="H779" s="191"/>
      <c r="I779" s="191"/>
      <c r="J779" s="191"/>
      <c r="K779" s="191"/>
      <c r="L779" s="221"/>
      <c r="M779" s="221"/>
      <c r="N779" s="221"/>
      <c r="O779" s="221"/>
      <c r="P779" s="221"/>
    </row>
    <row r="780" spans="1:16" ht="15">
      <c r="A780" s="217"/>
      <c r="B780" s="218"/>
      <c r="C780" s="221"/>
      <c r="D780" s="222"/>
      <c r="E780" s="223"/>
      <c r="F780" s="221"/>
      <c r="G780" s="221"/>
      <c r="H780" s="191"/>
      <c r="I780" s="191"/>
      <c r="J780" s="191"/>
      <c r="K780" s="191"/>
      <c r="L780" s="221"/>
      <c r="M780" s="221"/>
      <c r="N780" s="221"/>
      <c r="O780" s="221"/>
      <c r="P780" s="221"/>
    </row>
    <row r="781" spans="1:16" ht="15">
      <c r="A781" s="217"/>
      <c r="B781" s="218"/>
      <c r="C781" s="221"/>
      <c r="D781" s="222"/>
      <c r="E781" s="223"/>
      <c r="F781" s="221"/>
      <c r="G781" s="221"/>
      <c r="H781" s="191"/>
      <c r="I781" s="191"/>
      <c r="J781" s="191"/>
      <c r="K781" s="191"/>
      <c r="L781" s="221"/>
      <c r="M781" s="221"/>
      <c r="N781" s="221"/>
      <c r="O781" s="221"/>
      <c r="P781" s="221"/>
    </row>
    <row r="782" spans="1:16" ht="15">
      <c r="A782" s="217"/>
      <c r="B782" s="218"/>
      <c r="C782" s="221"/>
      <c r="D782" s="222"/>
      <c r="E782" s="223"/>
      <c r="F782" s="221"/>
      <c r="G782" s="221"/>
      <c r="H782" s="191"/>
      <c r="I782" s="191"/>
      <c r="J782" s="191"/>
      <c r="K782" s="191"/>
      <c r="L782" s="221"/>
      <c r="M782" s="221"/>
      <c r="N782" s="221"/>
      <c r="O782" s="221"/>
      <c r="P782" s="221"/>
    </row>
    <row r="783" spans="1:16" ht="15">
      <c r="A783" s="217"/>
      <c r="B783" s="218"/>
      <c r="C783" s="221"/>
      <c r="D783" s="222"/>
      <c r="E783" s="223"/>
      <c r="F783" s="221"/>
      <c r="G783" s="221"/>
      <c r="H783" s="191"/>
      <c r="I783" s="191"/>
      <c r="J783" s="191"/>
      <c r="K783" s="191"/>
      <c r="L783" s="221"/>
      <c r="M783" s="221"/>
      <c r="N783" s="221"/>
      <c r="O783" s="221"/>
      <c r="P783" s="221"/>
    </row>
    <row r="784" spans="1:16" ht="15">
      <c r="A784" s="217"/>
      <c r="B784" s="218"/>
      <c r="C784" s="221"/>
      <c r="D784" s="222"/>
      <c r="E784" s="223"/>
      <c r="F784" s="221"/>
      <c r="G784" s="221"/>
      <c r="H784" s="191"/>
      <c r="I784" s="191"/>
      <c r="J784" s="191"/>
      <c r="K784" s="191"/>
      <c r="L784" s="221"/>
      <c r="M784" s="221"/>
      <c r="N784" s="221"/>
      <c r="O784" s="221"/>
      <c r="P784" s="221"/>
    </row>
    <row r="785" spans="1:16" ht="15">
      <c r="A785" s="217"/>
      <c r="B785" s="218"/>
      <c r="C785" s="221"/>
      <c r="D785" s="222"/>
      <c r="E785" s="223"/>
      <c r="F785" s="221"/>
      <c r="G785" s="221"/>
      <c r="H785" s="191"/>
      <c r="I785" s="191"/>
      <c r="J785" s="191"/>
      <c r="K785" s="191"/>
      <c r="L785" s="221"/>
      <c r="M785" s="221"/>
      <c r="N785" s="221"/>
      <c r="O785" s="221"/>
      <c r="P785" s="221"/>
    </row>
    <row r="786" spans="1:16" ht="15">
      <c r="A786" s="217"/>
      <c r="B786" s="218"/>
      <c r="C786" s="221"/>
      <c r="D786" s="222"/>
      <c r="E786" s="223"/>
      <c r="F786" s="221"/>
      <c r="G786" s="221"/>
      <c r="H786" s="191"/>
      <c r="I786" s="191"/>
      <c r="J786" s="191"/>
      <c r="K786" s="191"/>
      <c r="L786" s="221"/>
      <c r="M786" s="221"/>
      <c r="N786" s="221"/>
      <c r="O786" s="221"/>
      <c r="P786" s="221"/>
    </row>
    <row r="787" spans="1:16" ht="15">
      <c r="A787" s="217"/>
      <c r="B787" s="218"/>
      <c r="C787" s="221"/>
      <c r="D787" s="222"/>
      <c r="E787" s="223"/>
      <c r="F787" s="221"/>
      <c r="G787" s="221"/>
      <c r="H787" s="191"/>
      <c r="I787" s="191"/>
      <c r="J787" s="191"/>
      <c r="K787" s="191"/>
      <c r="L787" s="221"/>
      <c r="M787" s="221"/>
      <c r="N787" s="221"/>
      <c r="O787" s="221"/>
      <c r="P787" s="221"/>
    </row>
    <row r="788" spans="1:16" ht="15">
      <c r="A788" s="217"/>
      <c r="B788" s="218"/>
      <c r="C788" s="221"/>
      <c r="D788" s="222"/>
      <c r="E788" s="223"/>
      <c r="F788" s="221"/>
      <c r="G788" s="221"/>
      <c r="H788" s="191"/>
      <c r="I788" s="191"/>
      <c r="J788" s="191"/>
      <c r="K788" s="191"/>
      <c r="L788" s="221"/>
      <c r="M788" s="221"/>
      <c r="N788" s="221"/>
      <c r="O788" s="221"/>
      <c r="P788" s="221"/>
    </row>
    <row r="789" spans="1:16" ht="15">
      <c r="A789" s="217"/>
      <c r="B789" s="218"/>
      <c r="C789" s="221"/>
      <c r="D789" s="222"/>
      <c r="E789" s="223"/>
      <c r="F789" s="221"/>
      <c r="G789" s="221"/>
      <c r="H789" s="191"/>
      <c r="I789" s="191"/>
      <c r="J789" s="191"/>
      <c r="K789" s="191"/>
      <c r="L789" s="221"/>
      <c r="M789" s="221"/>
      <c r="N789" s="221"/>
      <c r="O789" s="221"/>
      <c r="P789" s="221"/>
    </row>
    <row r="790" spans="1:16" ht="15">
      <c r="A790" s="217"/>
      <c r="B790" s="218"/>
      <c r="C790" s="221"/>
      <c r="D790" s="222"/>
      <c r="E790" s="223"/>
      <c r="F790" s="221"/>
      <c r="G790" s="221"/>
      <c r="H790" s="191"/>
      <c r="I790" s="191"/>
      <c r="J790" s="191"/>
      <c r="K790" s="191"/>
      <c r="L790" s="221"/>
      <c r="M790" s="221"/>
      <c r="N790" s="221"/>
      <c r="O790" s="221"/>
      <c r="P790" s="221"/>
    </row>
    <row r="791" spans="1:16" ht="15">
      <c r="A791" s="217"/>
      <c r="B791" s="218"/>
      <c r="C791" s="221"/>
      <c r="D791" s="222"/>
      <c r="E791" s="223"/>
      <c r="F791" s="221"/>
      <c r="G791" s="221"/>
      <c r="H791" s="191"/>
      <c r="I791" s="191"/>
      <c r="J791" s="191"/>
      <c r="K791" s="191"/>
      <c r="L791" s="221"/>
      <c r="M791" s="221"/>
      <c r="N791" s="221"/>
      <c r="O791" s="221"/>
      <c r="P791" s="221"/>
    </row>
    <row r="792" spans="1:16" ht="15">
      <c r="A792" s="217"/>
      <c r="B792" s="218"/>
      <c r="C792" s="221"/>
      <c r="D792" s="222"/>
      <c r="E792" s="223"/>
      <c r="F792" s="221"/>
      <c r="G792" s="221"/>
      <c r="H792" s="191"/>
      <c r="I792" s="191"/>
      <c r="J792" s="191"/>
      <c r="K792" s="191"/>
      <c r="L792" s="221"/>
      <c r="M792" s="221"/>
      <c r="N792" s="221"/>
      <c r="O792" s="221"/>
      <c r="P792" s="221"/>
    </row>
    <row r="793" spans="1:16" ht="15">
      <c r="A793" s="217"/>
      <c r="B793" s="218"/>
      <c r="C793" s="221"/>
      <c r="D793" s="222"/>
      <c r="E793" s="223"/>
      <c r="F793" s="221"/>
      <c r="G793" s="221"/>
      <c r="H793" s="191"/>
      <c r="I793" s="191"/>
      <c r="J793" s="191"/>
      <c r="K793" s="191"/>
      <c r="L793" s="221"/>
      <c r="M793" s="221"/>
      <c r="N793" s="221"/>
      <c r="O793" s="221"/>
      <c r="P793" s="221"/>
    </row>
    <row r="794" spans="1:16" ht="15">
      <c r="A794" s="217"/>
      <c r="B794" s="218"/>
      <c r="C794" s="221"/>
      <c r="D794" s="222"/>
      <c r="E794" s="223"/>
      <c r="F794" s="221"/>
      <c r="G794" s="221"/>
      <c r="H794" s="191"/>
      <c r="I794" s="191"/>
      <c r="J794" s="191"/>
      <c r="K794" s="191"/>
      <c r="L794" s="221"/>
      <c r="M794" s="221"/>
      <c r="N794" s="221"/>
      <c r="O794" s="221"/>
      <c r="P794" s="221"/>
    </row>
    <row r="795" spans="1:16" ht="15">
      <c r="A795" s="217"/>
      <c r="B795" s="218"/>
      <c r="C795" s="221"/>
      <c r="D795" s="222"/>
      <c r="E795" s="223"/>
      <c r="F795" s="221"/>
      <c r="G795" s="221"/>
      <c r="H795" s="191"/>
      <c r="I795" s="191"/>
      <c r="J795" s="191"/>
      <c r="K795" s="191"/>
      <c r="L795" s="221"/>
      <c r="M795" s="221"/>
      <c r="N795" s="221"/>
      <c r="O795" s="221"/>
      <c r="P795" s="221"/>
    </row>
    <row r="796" spans="1:16" ht="15">
      <c r="A796" s="217"/>
      <c r="B796" s="218"/>
      <c r="C796" s="221"/>
      <c r="D796" s="222"/>
      <c r="E796" s="223"/>
      <c r="F796" s="221"/>
      <c r="G796" s="221"/>
      <c r="H796" s="191"/>
      <c r="I796" s="191"/>
      <c r="J796" s="191"/>
      <c r="K796" s="191"/>
      <c r="L796" s="221"/>
      <c r="M796" s="221"/>
      <c r="N796" s="221"/>
      <c r="O796" s="221"/>
      <c r="P796" s="221"/>
    </row>
    <row r="797" spans="1:16" ht="15">
      <c r="A797" s="217"/>
      <c r="B797" s="218"/>
      <c r="C797" s="221"/>
      <c r="D797" s="222"/>
      <c r="E797" s="223"/>
      <c r="F797" s="221"/>
      <c r="G797" s="221"/>
      <c r="H797" s="191"/>
      <c r="I797" s="191"/>
      <c r="J797" s="191"/>
      <c r="K797" s="191"/>
      <c r="L797" s="221"/>
      <c r="M797" s="221"/>
      <c r="N797" s="221"/>
      <c r="O797" s="221"/>
      <c r="P797" s="221"/>
    </row>
    <row r="798" spans="1:16" ht="15">
      <c r="A798" s="217"/>
      <c r="B798" s="218"/>
      <c r="C798" s="221"/>
      <c r="D798" s="222"/>
      <c r="E798" s="223"/>
      <c r="F798" s="221"/>
      <c r="G798" s="221"/>
      <c r="H798" s="191"/>
      <c r="I798" s="191"/>
      <c r="J798" s="191"/>
      <c r="K798" s="191"/>
      <c r="L798" s="221"/>
      <c r="M798" s="221"/>
      <c r="N798" s="221"/>
      <c r="O798" s="221"/>
      <c r="P798" s="221"/>
    </row>
    <row r="799" spans="1:16" ht="15">
      <c r="A799" s="217"/>
      <c r="B799" s="218"/>
      <c r="C799" s="221"/>
      <c r="D799" s="222"/>
      <c r="E799" s="223"/>
      <c r="F799" s="221"/>
      <c r="G799" s="221"/>
      <c r="H799" s="191"/>
      <c r="I799" s="191"/>
      <c r="J799" s="191"/>
      <c r="K799" s="191"/>
      <c r="L799" s="221"/>
      <c r="M799" s="221"/>
      <c r="N799" s="221"/>
      <c r="O799" s="221"/>
      <c r="P799" s="221"/>
    </row>
    <row r="800" spans="1:16" ht="15">
      <c r="A800" s="217"/>
      <c r="B800" s="218"/>
      <c r="C800" s="221"/>
      <c r="D800" s="222"/>
      <c r="E800" s="223"/>
      <c r="F800" s="221"/>
      <c r="G800" s="221"/>
      <c r="H800" s="191"/>
      <c r="I800" s="191"/>
      <c r="J800" s="191"/>
      <c r="K800" s="191"/>
      <c r="L800" s="221"/>
      <c r="M800" s="221"/>
      <c r="N800" s="221"/>
      <c r="O800" s="221"/>
      <c r="P800" s="221"/>
    </row>
    <row r="801" spans="1:16" ht="15">
      <c r="A801" s="217"/>
      <c r="B801" s="218"/>
      <c r="C801" s="221"/>
      <c r="D801" s="222"/>
      <c r="E801" s="223"/>
      <c r="F801" s="221"/>
      <c r="G801" s="221"/>
      <c r="H801" s="191"/>
      <c r="I801" s="191"/>
      <c r="J801" s="191"/>
      <c r="K801" s="191"/>
      <c r="L801" s="221"/>
      <c r="M801" s="221"/>
      <c r="N801" s="221"/>
      <c r="O801" s="221"/>
      <c r="P801" s="221"/>
    </row>
    <row r="802" spans="1:16" ht="15">
      <c r="A802" s="217"/>
      <c r="B802" s="218"/>
      <c r="C802" s="221"/>
      <c r="D802" s="222"/>
      <c r="E802" s="223"/>
      <c r="F802" s="221"/>
      <c r="G802" s="221"/>
      <c r="H802" s="191"/>
      <c r="I802" s="191"/>
      <c r="J802" s="191"/>
      <c r="K802" s="191"/>
      <c r="L802" s="221"/>
      <c r="M802" s="221"/>
      <c r="N802" s="221"/>
      <c r="O802" s="221"/>
      <c r="P802" s="221"/>
    </row>
    <row r="803" spans="1:16" ht="15">
      <c r="A803" s="217"/>
      <c r="B803" s="218"/>
      <c r="C803" s="221"/>
      <c r="D803" s="222"/>
      <c r="E803" s="223"/>
      <c r="F803" s="221"/>
      <c r="G803" s="221"/>
      <c r="H803" s="191"/>
      <c r="I803" s="191"/>
      <c r="J803" s="191"/>
      <c r="K803" s="191"/>
      <c r="L803" s="221"/>
      <c r="M803" s="221"/>
      <c r="N803" s="221"/>
      <c r="O803" s="221"/>
      <c r="P803" s="221"/>
    </row>
    <row r="804" spans="1:16" ht="15">
      <c r="A804" s="217"/>
      <c r="B804" s="218"/>
      <c r="C804" s="221"/>
      <c r="D804" s="222"/>
      <c r="E804" s="223"/>
      <c r="F804" s="221"/>
      <c r="G804" s="221"/>
      <c r="H804" s="191"/>
      <c r="I804" s="191"/>
      <c r="J804" s="191"/>
      <c r="K804" s="191"/>
      <c r="L804" s="221"/>
      <c r="M804" s="221"/>
      <c r="N804" s="221"/>
      <c r="O804" s="221"/>
      <c r="P804" s="221"/>
    </row>
    <row r="805" spans="1:16" ht="15">
      <c r="A805" s="217"/>
      <c r="B805" s="218"/>
      <c r="C805" s="221"/>
      <c r="D805" s="222"/>
      <c r="E805" s="223"/>
      <c r="F805" s="221"/>
      <c r="G805" s="221"/>
      <c r="H805" s="191"/>
      <c r="I805" s="191"/>
      <c r="J805" s="191"/>
      <c r="K805" s="191"/>
      <c r="L805" s="221"/>
      <c r="M805" s="221"/>
      <c r="N805" s="221"/>
      <c r="O805" s="221"/>
      <c r="P805" s="221"/>
    </row>
    <row r="806" spans="1:16" ht="15">
      <c r="A806" s="217"/>
      <c r="B806" s="218"/>
      <c r="C806" s="221"/>
      <c r="D806" s="222"/>
      <c r="E806" s="223"/>
      <c r="F806" s="221"/>
      <c r="G806" s="221"/>
      <c r="H806" s="191"/>
      <c r="I806" s="191"/>
      <c r="J806" s="191"/>
      <c r="K806" s="191"/>
      <c r="L806" s="221"/>
      <c r="M806" s="221"/>
      <c r="N806" s="221"/>
      <c r="O806" s="221"/>
      <c r="P806" s="221"/>
    </row>
    <row r="807" spans="1:16" ht="15">
      <c r="A807" s="217"/>
      <c r="B807" s="218"/>
      <c r="C807" s="221"/>
      <c r="D807" s="222"/>
      <c r="E807" s="223"/>
      <c r="F807" s="221"/>
      <c r="G807" s="221"/>
      <c r="H807" s="191"/>
      <c r="I807" s="191"/>
      <c r="J807" s="191"/>
      <c r="K807" s="191"/>
      <c r="L807" s="221"/>
      <c r="M807" s="221"/>
      <c r="N807" s="221"/>
      <c r="O807" s="221"/>
      <c r="P807" s="221"/>
    </row>
    <row r="808" spans="1:16" ht="15">
      <c r="A808" s="217"/>
      <c r="B808" s="218"/>
      <c r="C808" s="221"/>
      <c r="D808" s="222"/>
      <c r="E808" s="223"/>
      <c r="F808" s="221"/>
      <c r="G808" s="221"/>
      <c r="H808" s="191"/>
      <c r="I808" s="191"/>
      <c r="J808" s="191"/>
      <c r="K808" s="191"/>
      <c r="L808" s="221"/>
      <c r="M808" s="221"/>
      <c r="N808" s="221"/>
      <c r="O808" s="221"/>
      <c r="P808" s="221"/>
    </row>
    <row r="809" spans="1:16" ht="15">
      <c r="A809" s="217"/>
      <c r="B809" s="218"/>
      <c r="C809" s="221"/>
      <c r="D809" s="222"/>
      <c r="E809" s="223"/>
      <c r="F809" s="221"/>
      <c r="G809" s="221"/>
      <c r="H809" s="191"/>
      <c r="I809" s="191"/>
      <c r="J809" s="191"/>
      <c r="K809" s="191"/>
      <c r="L809" s="221"/>
      <c r="M809" s="221"/>
      <c r="N809" s="221"/>
      <c r="O809" s="221"/>
      <c r="P809" s="221"/>
    </row>
    <row r="810" spans="1:16" ht="15">
      <c r="A810" s="217"/>
      <c r="B810" s="218"/>
      <c r="C810" s="221"/>
      <c r="D810" s="222"/>
      <c r="E810" s="223"/>
      <c r="F810" s="221"/>
      <c r="G810" s="221"/>
      <c r="H810" s="191"/>
      <c r="I810" s="191"/>
      <c r="J810" s="191"/>
      <c r="K810" s="191"/>
      <c r="L810" s="221"/>
      <c r="M810" s="221"/>
      <c r="N810" s="221"/>
      <c r="O810" s="221"/>
      <c r="P810" s="221"/>
    </row>
    <row r="811" spans="1:16" ht="15">
      <c r="A811" s="217"/>
      <c r="B811" s="218"/>
      <c r="C811" s="221"/>
      <c r="D811" s="222"/>
      <c r="E811" s="223"/>
      <c r="F811" s="221"/>
      <c r="G811" s="221"/>
      <c r="H811" s="191"/>
      <c r="I811" s="191"/>
      <c r="J811" s="191"/>
      <c r="K811" s="191"/>
      <c r="L811" s="221"/>
      <c r="M811" s="221"/>
      <c r="N811" s="221"/>
      <c r="O811" s="221"/>
      <c r="P811" s="221"/>
    </row>
    <row r="812" spans="1:16" ht="15">
      <c r="A812" s="217"/>
      <c r="B812" s="218"/>
      <c r="C812" s="221"/>
      <c r="D812" s="222"/>
      <c r="E812" s="223"/>
      <c r="F812" s="221"/>
      <c r="G812" s="221"/>
      <c r="H812" s="191"/>
      <c r="I812" s="191"/>
      <c r="J812" s="191"/>
      <c r="K812" s="191"/>
      <c r="L812" s="221"/>
      <c r="M812" s="221"/>
      <c r="N812" s="221"/>
      <c r="O812" s="221"/>
      <c r="P812" s="221"/>
    </row>
    <row r="813" spans="1:16" ht="15">
      <c r="A813" s="217"/>
      <c r="B813" s="218"/>
      <c r="C813" s="221"/>
      <c r="D813" s="222"/>
      <c r="E813" s="223"/>
      <c r="F813" s="221"/>
      <c r="G813" s="221"/>
      <c r="H813" s="191"/>
      <c r="I813" s="191"/>
      <c r="J813" s="191"/>
      <c r="K813" s="191"/>
      <c r="L813" s="221"/>
      <c r="M813" s="221"/>
      <c r="N813" s="221"/>
      <c r="O813" s="221"/>
      <c r="P813" s="221"/>
    </row>
    <row r="814" spans="1:16" ht="15">
      <c r="A814" s="217"/>
      <c r="B814" s="218"/>
      <c r="C814" s="221"/>
      <c r="D814" s="222"/>
      <c r="E814" s="223"/>
      <c r="F814" s="221"/>
      <c r="G814" s="221"/>
      <c r="H814" s="191"/>
      <c r="I814" s="191"/>
      <c r="J814" s="191"/>
      <c r="K814" s="191"/>
      <c r="L814" s="221"/>
      <c r="M814" s="221"/>
      <c r="N814" s="221"/>
      <c r="O814" s="221"/>
      <c r="P814" s="221"/>
    </row>
    <row r="815" spans="1:16" ht="15">
      <c r="A815" s="217"/>
      <c r="B815" s="218"/>
      <c r="C815" s="221"/>
      <c r="D815" s="222"/>
      <c r="E815" s="223"/>
      <c r="F815" s="221"/>
      <c r="G815" s="221"/>
      <c r="H815" s="191"/>
      <c r="I815" s="191"/>
      <c r="J815" s="191"/>
      <c r="K815" s="191"/>
      <c r="L815" s="221"/>
      <c r="M815" s="221"/>
      <c r="N815" s="221"/>
      <c r="O815" s="221"/>
      <c r="P815" s="221"/>
    </row>
    <row r="816" spans="1:16" ht="15">
      <c r="A816" s="217"/>
      <c r="B816" s="218"/>
      <c r="C816" s="221"/>
      <c r="D816" s="222"/>
      <c r="E816" s="223"/>
      <c r="F816" s="221"/>
      <c r="G816" s="221"/>
      <c r="H816" s="191"/>
      <c r="I816" s="191"/>
      <c r="J816" s="191"/>
      <c r="K816" s="191"/>
      <c r="L816" s="221"/>
      <c r="M816" s="221"/>
      <c r="N816" s="221"/>
      <c r="O816" s="221"/>
      <c r="P816" s="221"/>
    </row>
    <row r="817" spans="1:16" ht="15">
      <c r="A817" s="217"/>
      <c r="B817" s="218"/>
      <c r="C817" s="221"/>
      <c r="D817" s="222"/>
      <c r="E817" s="223"/>
      <c r="F817" s="221"/>
      <c r="G817" s="221"/>
      <c r="H817" s="191"/>
      <c r="I817" s="191"/>
      <c r="J817" s="191"/>
      <c r="K817" s="191"/>
      <c r="L817" s="221"/>
      <c r="M817" s="221"/>
      <c r="N817" s="221"/>
      <c r="O817" s="221"/>
      <c r="P817" s="221"/>
    </row>
    <row r="818" spans="1:16" ht="15">
      <c r="A818" s="217"/>
      <c r="B818" s="218"/>
      <c r="C818" s="221"/>
      <c r="D818" s="222"/>
      <c r="E818" s="223"/>
      <c r="F818" s="221"/>
      <c r="G818" s="221"/>
      <c r="H818" s="191"/>
      <c r="I818" s="191"/>
      <c r="J818" s="191"/>
      <c r="K818" s="191"/>
      <c r="L818" s="221"/>
      <c r="M818" s="221"/>
      <c r="N818" s="221"/>
      <c r="O818" s="221"/>
      <c r="P818" s="221"/>
    </row>
    <row r="819" spans="1:16" ht="15">
      <c r="A819" s="217"/>
      <c r="B819" s="218"/>
      <c r="C819" s="221"/>
      <c r="D819" s="222"/>
      <c r="E819" s="223"/>
      <c r="F819" s="221"/>
      <c r="G819" s="221"/>
      <c r="H819" s="191"/>
      <c r="I819" s="191"/>
      <c r="J819" s="191"/>
      <c r="K819" s="191"/>
      <c r="L819" s="221"/>
      <c r="M819" s="221"/>
      <c r="N819" s="221"/>
      <c r="O819" s="221"/>
      <c r="P819" s="221"/>
    </row>
    <row r="820" spans="1:16" ht="15">
      <c r="A820" s="217"/>
      <c r="B820" s="218"/>
      <c r="C820" s="221"/>
      <c r="D820" s="222"/>
      <c r="E820" s="223"/>
      <c r="F820" s="221"/>
      <c r="G820" s="221"/>
      <c r="H820" s="191"/>
      <c r="I820" s="191"/>
      <c r="J820" s="191"/>
      <c r="K820" s="191"/>
      <c r="L820" s="221"/>
      <c r="M820" s="221"/>
      <c r="N820" s="221"/>
      <c r="O820" s="221"/>
      <c r="P820" s="221"/>
    </row>
    <row r="821" spans="1:16" ht="15">
      <c r="A821" s="217"/>
      <c r="B821" s="218"/>
      <c r="C821" s="221"/>
      <c r="D821" s="222"/>
      <c r="E821" s="223"/>
      <c r="F821" s="221"/>
      <c r="G821" s="221"/>
      <c r="H821" s="191"/>
      <c r="I821" s="191"/>
      <c r="J821" s="191"/>
      <c r="K821" s="191"/>
      <c r="L821" s="221"/>
      <c r="M821" s="221"/>
      <c r="N821" s="221"/>
      <c r="O821" s="221"/>
      <c r="P821" s="221"/>
    </row>
    <row r="822" spans="1:16" ht="15">
      <c r="A822" s="217"/>
      <c r="B822" s="218"/>
      <c r="C822" s="221"/>
      <c r="D822" s="222"/>
      <c r="E822" s="223"/>
      <c r="F822" s="221"/>
      <c r="G822" s="221"/>
      <c r="H822" s="191"/>
      <c r="I822" s="191"/>
      <c r="J822" s="191"/>
      <c r="K822" s="191"/>
      <c r="L822" s="221"/>
      <c r="M822" s="221"/>
      <c r="N822" s="221"/>
      <c r="O822" s="221"/>
      <c r="P822" s="221"/>
    </row>
    <row r="823" spans="1:16" ht="15">
      <c r="A823" s="217"/>
      <c r="B823" s="218"/>
      <c r="C823" s="221"/>
      <c r="D823" s="222"/>
      <c r="E823" s="223"/>
      <c r="F823" s="221"/>
      <c r="G823" s="221"/>
      <c r="H823" s="191"/>
      <c r="I823" s="191"/>
      <c r="J823" s="191"/>
      <c r="K823" s="191"/>
      <c r="L823" s="221"/>
      <c r="M823" s="221"/>
      <c r="N823" s="221"/>
      <c r="O823" s="221"/>
      <c r="P823" s="221"/>
    </row>
    <row r="824" spans="1:16" ht="15">
      <c r="A824" s="217"/>
      <c r="B824" s="218"/>
      <c r="C824" s="221"/>
      <c r="D824" s="222"/>
      <c r="E824" s="223"/>
      <c r="F824" s="221"/>
      <c r="G824" s="221"/>
      <c r="H824" s="191"/>
      <c r="I824" s="191"/>
      <c r="J824" s="191"/>
      <c r="K824" s="191"/>
      <c r="L824" s="221"/>
      <c r="M824" s="221"/>
      <c r="N824" s="221"/>
      <c r="O824" s="221"/>
      <c r="P824" s="221"/>
    </row>
    <row r="825" spans="1:16" ht="15">
      <c r="A825" s="217"/>
      <c r="B825" s="218"/>
      <c r="C825" s="221"/>
      <c r="D825" s="222"/>
      <c r="E825" s="223"/>
      <c r="F825" s="221"/>
      <c r="G825" s="221"/>
      <c r="H825" s="191"/>
      <c r="I825" s="191"/>
      <c r="J825" s="191"/>
      <c r="K825" s="191"/>
      <c r="L825" s="221"/>
      <c r="M825" s="221"/>
      <c r="N825" s="221"/>
      <c r="O825" s="221"/>
      <c r="P825" s="221"/>
    </row>
    <row r="826" spans="1:16" ht="15">
      <c r="A826" s="217"/>
      <c r="B826" s="218"/>
      <c r="C826" s="221"/>
      <c r="D826" s="222"/>
      <c r="E826" s="223"/>
      <c r="F826" s="221"/>
      <c r="G826" s="221"/>
      <c r="H826" s="191"/>
      <c r="I826" s="191"/>
      <c r="J826" s="191"/>
      <c r="K826" s="191"/>
      <c r="L826" s="221"/>
      <c r="M826" s="221"/>
      <c r="N826" s="221"/>
      <c r="O826" s="221"/>
      <c r="P826" s="221"/>
    </row>
    <row r="827" spans="1:16" ht="15">
      <c r="A827" s="217"/>
      <c r="B827" s="218"/>
      <c r="C827" s="221"/>
      <c r="D827" s="222"/>
      <c r="E827" s="223"/>
      <c r="F827" s="221"/>
      <c r="G827" s="221"/>
      <c r="H827" s="191"/>
      <c r="I827" s="191"/>
      <c r="J827" s="191"/>
      <c r="K827" s="191"/>
      <c r="L827" s="221"/>
      <c r="M827" s="221"/>
      <c r="N827" s="221"/>
      <c r="O827" s="221"/>
      <c r="P827" s="221"/>
    </row>
    <row r="828" spans="1:16" ht="15">
      <c r="A828" s="217"/>
      <c r="B828" s="218"/>
      <c r="C828" s="221"/>
      <c r="D828" s="222"/>
      <c r="E828" s="223"/>
      <c r="F828" s="221"/>
      <c r="G828" s="221"/>
      <c r="H828" s="191"/>
      <c r="I828" s="191"/>
      <c r="J828" s="191"/>
      <c r="K828" s="191"/>
      <c r="L828" s="221"/>
      <c r="M828" s="221"/>
      <c r="N828" s="221"/>
      <c r="O828" s="221"/>
      <c r="P828" s="221"/>
    </row>
    <row r="829" spans="1:16" ht="15">
      <c r="A829" s="217"/>
      <c r="B829" s="218"/>
      <c r="C829" s="221"/>
      <c r="D829" s="222"/>
      <c r="E829" s="223"/>
      <c r="F829" s="221"/>
      <c r="G829" s="221"/>
      <c r="H829" s="191"/>
      <c r="I829" s="191"/>
      <c r="J829" s="191"/>
      <c r="K829" s="191"/>
      <c r="L829" s="221"/>
      <c r="M829" s="221"/>
      <c r="N829" s="221"/>
      <c r="O829" s="221"/>
      <c r="P829" s="221"/>
    </row>
    <row r="830" spans="1:16" ht="15">
      <c r="A830" s="217"/>
      <c r="B830" s="218"/>
      <c r="C830" s="221"/>
      <c r="D830" s="222"/>
      <c r="E830" s="223"/>
      <c r="F830" s="221"/>
      <c r="G830" s="221"/>
      <c r="H830" s="191"/>
      <c r="I830" s="191"/>
      <c r="J830" s="191"/>
      <c r="K830" s="191"/>
      <c r="L830" s="221"/>
      <c r="M830" s="221"/>
      <c r="N830" s="221"/>
      <c r="O830" s="221"/>
      <c r="P830" s="221"/>
    </row>
    <row r="831" spans="1:16" ht="15">
      <c r="A831" s="217"/>
      <c r="B831" s="218"/>
      <c r="C831" s="221"/>
      <c r="D831" s="222"/>
      <c r="E831" s="223"/>
      <c r="F831" s="221"/>
      <c r="G831" s="221"/>
      <c r="H831" s="191"/>
      <c r="I831" s="191"/>
      <c r="J831" s="191"/>
      <c r="K831" s="191"/>
      <c r="L831" s="221"/>
      <c r="M831" s="221"/>
      <c r="N831" s="221"/>
      <c r="O831" s="221"/>
      <c r="P831" s="221"/>
    </row>
    <row r="832" spans="1:16" ht="15">
      <c r="A832" s="217"/>
      <c r="B832" s="218"/>
      <c r="C832" s="221"/>
      <c r="D832" s="222"/>
      <c r="E832" s="223"/>
      <c r="F832" s="221"/>
      <c r="G832" s="221"/>
      <c r="H832" s="191"/>
      <c r="I832" s="191"/>
      <c r="J832" s="191"/>
      <c r="K832" s="191"/>
      <c r="L832" s="221"/>
      <c r="M832" s="221"/>
      <c r="N832" s="221"/>
      <c r="O832" s="221"/>
      <c r="P832" s="221"/>
    </row>
    <row r="833" spans="1:16" ht="15">
      <c r="A833" s="217"/>
      <c r="B833" s="218"/>
      <c r="C833" s="221"/>
      <c r="D833" s="222"/>
      <c r="E833" s="223"/>
      <c r="F833" s="221"/>
      <c r="G833" s="221"/>
      <c r="H833" s="191"/>
      <c r="I833" s="191"/>
      <c r="J833" s="191"/>
      <c r="K833" s="191"/>
      <c r="L833" s="221"/>
      <c r="M833" s="221"/>
      <c r="N833" s="221"/>
      <c r="O833" s="221"/>
      <c r="P833" s="221"/>
    </row>
    <row r="834" spans="1:16" ht="15">
      <c r="A834" s="217"/>
      <c r="B834" s="218"/>
      <c r="C834" s="221"/>
      <c r="D834" s="222"/>
      <c r="E834" s="223"/>
      <c r="F834" s="221"/>
      <c r="G834" s="221"/>
      <c r="H834" s="191"/>
      <c r="I834" s="191"/>
      <c r="J834" s="191"/>
      <c r="K834" s="191"/>
      <c r="L834" s="221"/>
      <c r="M834" s="221"/>
      <c r="N834" s="221"/>
      <c r="O834" s="221"/>
      <c r="P834" s="221"/>
    </row>
    <row r="835" spans="1:16" ht="15">
      <c r="A835" s="217"/>
      <c r="B835" s="218"/>
      <c r="C835" s="221"/>
      <c r="D835" s="222"/>
      <c r="E835" s="223"/>
      <c r="F835" s="221"/>
      <c r="G835" s="221"/>
      <c r="H835" s="191"/>
      <c r="I835" s="191"/>
      <c r="J835" s="191"/>
      <c r="K835" s="191"/>
      <c r="L835" s="221"/>
      <c r="M835" s="221"/>
      <c r="N835" s="221"/>
      <c r="O835" s="221"/>
      <c r="P835" s="221"/>
    </row>
    <row r="836" spans="1:16" ht="15">
      <c r="A836" s="217"/>
      <c r="B836" s="218"/>
      <c r="C836" s="221"/>
      <c r="D836" s="222"/>
      <c r="E836" s="223"/>
      <c r="F836" s="221"/>
      <c r="G836" s="221"/>
      <c r="H836" s="191"/>
      <c r="I836" s="191"/>
      <c r="J836" s="191"/>
      <c r="K836" s="191"/>
      <c r="L836" s="221"/>
      <c r="M836" s="221"/>
      <c r="N836" s="221"/>
      <c r="O836" s="221"/>
      <c r="P836" s="221"/>
    </row>
    <row r="837" spans="1:16" ht="15">
      <c r="A837" s="217"/>
      <c r="B837" s="218"/>
      <c r="C837" s="221"/>
      <c r="D837" s="222"/>
      <c r="E837" s="223"/>
      <c r="F837" s="221"/>
      <c r="G837" s="221"/>
      <c r="H837" s="191"/>
      <c r="I837" s="191"/>
      <c r="J837" s="191"/>
      <c r="K837" s="191"/>
      <c r="L837" s="221"/>
      <c r="M837" s="221"/>
      <c r="N837" s="221"/>
      <c r="O837" s="221"/>
      <c r="P837" s="221"/>
    </row>
    <row r="838" spans="1:16" ht="15">
      <c r="A838" s="217"/>
      <c r="B838" s="218"/>
      <c r="C838" s="221"/>
      <c r="D838" s="222"/>
      <c r="E838" s="223"/>
      <c r="F838" s="221"/>
      <c r="G838" s="221"/>
      <c r="H838" s="191"/>
      <c r="I838" s="191"/>
      <c r="J838" s="191"/>
      <c r="K838" s="191"/>
      <c r="L838" s="221"/>
      <c r="M838" s="221"/>
      <c r="N838" s="221"/>
      <c r="O838" s="221"/>
      <c r="P838" s="221"/>
    </row>
    <row r="839" spans="1:16" ht="15">
      <c r="A839" s="217"/>
      <c r="B839" s="218"/>
      <c r="C839" s="221"/>
      <c r="D839" s="222"/>
      <c r="E839" s="223"/>
      <c r="F839" s="221"/>
      <c r="G839" s="221"/>
      <c r="H839" s="191"/>
      <c r="I839" s="191"/>
      <c r="J839" s="191"/>
      <c r="K839" s="191"/>
      <c r="L839" s="221"/>
      <c r="M839" s="221"/>
      <c r="N839" s="221"/>
      <c r="O839" s="221"/>
      <c r="P839" s="221"/>
    </row>
    <row r="840" spans="1:16" ht="15">
      <c r="A840" s="217"/>
      <c r="B840" s="218"/>
      <c r="C840" s="221"/>
      <c r="D840" s="222"/>
      <c r="E840" s="223"/>
      <c r="F840" s="221"/>
      <c r="G840" s="221"/>
      <c r="H840" s="191"/>
      <c r="I840" s="191"/>
      <c r="J840" s="191"/>
      <c r="K840" s="191"/>
      <c r="L840" s="221"/>
      <c r="M840" s="221"/>
      <c r="N840" s="221"/>
      <c r="O840" s="221"/>
      <c r="P840" s="221"/>
    </row>
    <row r="841" spans="1:16" ht="15">
      <c r="A841" s="217"/>
      <c r="B841" s="218"/>
      <c r="C841" s="221"/>
      <c r="D841" s="222"/>
      <c r="E841" s="223"/>
      <c r="F841" s="221"/>
      <c r="G841" s="221"/>
      <c r="H841" s="191"/>
      <c r="I841" s="191"/>
      <c r="J841" s="191"/>
      <c r="K841" s="191"/>
      <c r="L841" s="221"/>
      <c r="M841" s="221"/>
      <c r="N841" s="221"/>
      <c r="O841" s="221"/>
      <c r="P841" s="221"/>
    </row>
    <row r="842" spans="1:16" ht="15">
      <c r="A842" s="217"/>
      <c r="B842" s="218"/>
      <c r="C842" s="221"/>
      <c r="D842" s="222"/>
      <c r="E842" s="223"/>
      <c r="F842" s="221"/>
      <c r="G842" s="221"/>
      <c r="H842" s="191"/>
      <c r="I842" s="191"/>
      <c r="J842" s="191"/>
      <c r="K842" s="191"/>
      <c r="L842" s="221"/>
      <c r="M842" s="221"/>
      <c r="N842" s="221"/>
      <c r="O842" s="221"/>
      <c r="P842" s="221"/>
    </row>
    <row r="843" spans="1:16" ht="15">
      <c r="A843" s="217"/>
      <c r="B843" s="218"/>
      <c r="C843" s="221"/>
      <c r="D843" s="222"/>
      <c r="E843" s="223"/>
      <c r="F843" s="221"/>
      <c r="G843" s="221"/>
      <c r="H843" s="191"/>
      <c r="I843" s="191"/>
      <c r="J843" s="191"/>
      <c r="K843" s="191"/>
      <c r="L843" s="221"/>
      <c r="M843" s="221"/>
      <c r="N843" s="221"/>
      <c r="O843" s="221"/>
      <c r="P843" s="221"/>
    </row>
    <row r="844" spans="1:16" ht="15">
      <c r="A844" s="217"/>
      <c r="B844" s="218"/>
      <c r="C844" s="221"/>
      <c r="D844" s="222"/>
      <c r="E844" s="223"/>
      <c r="F844" s="221"/>
      <c r="G844" s="221"/>
      <c r="H844" s="191"/>
      <c r="I844" s="191"/>
      <c r="J844" s="191"/>
      <c r="K844" s="191"/>
      <c r="L844" s="221"/>
      <c r="M844" s="221"/>
      <c r="N844" s="221"/>
      <c r="O844" s="221"/>
      <c r="P844" s="221"/>
    </row>
    <row r="845" spans="1:16" ht="15">
      <c r="A845" s="217"/>
      <c r="B845" s="218"/>
      <c r="C845" s="221"/>
      <c r="D845" s="222"/>
      <c r="E845" s="223"/>
      <c r="F845" s="221"/>
      <c r="G845" s="221"/>
      <c r="H845" s="191"/>
      <c r="I845" s="191"/>
      <c r="J845" s="191"/>
      <c r="K845" s="191"/>
      <c r="L845" s="221"/>
      <c r="M845" s="221"/>
      <c r="N845" s="221"/>
      <c r="O845" s="221"/>
      <c r="P845" s="221"/>
    </row>
    <row r="846" spans="1:16" ht="15">
      <c r="A846" s="217"/>
      <c r="B846" s="218"/>
      <c r="C846" s="221"/>
      <c r="D846" s="222"/>
      <c r="E846" s="223"/>
      <c r="F846" s="221"/>
      <c r="G846" s="221"/>
      <c r="H846" s="191"/>
      <c r="I846" s="191"/>
      <c r="J846" s="191"/>
      <c r="K846" s="191"/>
      <c r="L846" s="221"/>
      <c r="M846" s="221"/>
      <c r="N846" s="221"/>
      <c r="O846" s="221"/>
      <c r="P846" s="221"/>
    </row>
    <row r="847" spans="1:16" ht="15">
      <c r="A847" s="217"/>
      <c r="B847" s="218"/>
      <c r="C847" s="221"/>
      <c r="D847" s="222"/>
      <c r="E847" s="223"/>
      <c r="F847" s="221"/>
      <c r="G847" s="221"/>
      <c r="H847" s="191"/>
      <c r="I847" s="191"/>
      <c r="J847" s="191"/>
      <c r="K847" s="191"/>
      <c r="L847" s="221"/>
      <c r="M847" s="221"/>
      <c r="N847" s="221"/>
      <c r="O847" s="221"/>
      <c r="P847" s="221"/>
    </row>
    <row r="848" spans="1:16" ht="15">
      <c r="A848" s="217"/>
      <c r="B848" s="218"/>
      <c r="C848" s="221"/>
      <c r="D848" s="222"/>
      <c r="E848" s="223"/>
      <c r="F848" s="221"/>
      <c r="G848" s="221"/>
      <c r="H848" s="191"/>
      <c r="I848" s="191"/>
      <c r="J848" s="191"/>
      <c r="K848" s="191"/>
      <c r="L848" s="221"/>
      <c r="M848" s="221"/>
      <c r="N848" s="221"/>
      <c r="O848" s="221"/>
      <c r="P848" s="221"/>
    </row>
    <row r="849" spans="1:16" ht="15">
      <c r="A849" s="217"/>
      <c r="B849" s="218"/>
      <c r="C849" s="221"/>
      <c r="D849" s="222"/>
      <c r="E849" s="223"/>
      <c r="F849" s="221"/>
      <c r="G849" s="221"/>
      <c r="H849" s="191"/>
      <c r="I849" s="191"/>
      <c r="J849" s="191"/>
      <c r="K849" s="191"/>
      <c r="L849" s="221"/>
      <c r="M849" s="221"/>
      <c r="N849" s="221"/>
      <c r="O849" s="221"/>
      <c r="P849" s="221"/>
    </row>
    <row r="850" spans="1:16" ht="15">
      <c r="A850" s="217"/>
      <c r="B850" s="218"/>
      <c r="C850" s="221"/>
      <c r="D850" s="222"/>
      <c r="E850" s="223"/>
      <c r="F850" s="221"/>
      <c r="G850" s="221"/>
      <c r="H850" s="191"/>
      <c r="I850" s="191"/>
      <c r="J850" s="191"/>
      <c r="K850" s="191"/>
      <c r="L850" s="221"/>
      <c r="M850" s="221"/>
      <c r="N850" s="221"/>
      <c r="O850" s="221"/>
      <c r="P850" s="221"/>
    </row>
    <row r="851" spans="1:16" ht="15">
      <c r="A851" s="217"/>
      <c r="B851" s="218"/>
      <c r="C851" s="221"/>
      <c r="D851" s="222"/>
      <c r="E851" s="223"/>
      <c r="F851" s="221"/>
      <c r="G851" s="221"/>
      <c r="H851" s="191"/>
      <c r="I851" s="191"/>
      <c r="J851" s="191"/>
      <c r="K851" s="191"/>
      <c r="L851" s="221"/>
      <c r="M851" s="221"/>
      <c r="N851" s="221"/>
      <c r="O851" s="221"/>
      <c r="P851" s="221"/>
    </row>
    <row r="852" spans="1:16" ht="15">
      <c r="A852" s="217"/>
      <c r="B852" s="218"/>
      <c r="C852" s="221"/>
      <c r="D852" s="222"/>
      <c r="E852" s="223"/>
      <c r="F852" s="221"/>
      <c r="G852" s="221"/>
      <c r="H852" s="191"/>
      <c r="I852" s="191"/>
      <c r="J852" s="191"/>
      <c r="K852" s="191"/>
      <c r="L852" s="221"/>
      <c r="M852" s="221"/>
      <c r="N852" s="221"/>
      <c r="O852" s="221"/>
      <c r="P852" s="221"/>
    </row>
    <row r="853" spans="1:16" ht="15">
      <c r="A853" s="217"/>
      <c r="B853" s="218"/>
      <c r="C853" s="221"/>
      <c r="D853" s="222"/>
      <c r="E853" s="223"/>
      <c r="F853" s="221"/>
      <c r="G853" s="221"/>
      <c r="H853" s="191"/>
      <c r="I853" s="191"/>
      <c r="J853" s="191"/>
      <c r="K853" s="191"/>
      <c r="L853" s="221"/>
      <c r="M853" s="221"/>
      <c r="N853" s="221"/>
      <c r="O853" s="221"/>
      <c r="P853" s="221"/>
    </row>
    <row r="854" spans="1:16" ht="15">
      <c r="A854" s="217"/>
      <c r="B854" s="218"/>
      <c r="C854" s="221"/>
      <c r="D854" s="222"/>
      <c r="E854" s="223"/>
      <c r="F854" s="221"/>
      <c r="G854" s="221"/>
      <c r="H854" s="191"/>
      <c r="I854" s="191"/>
      <c r="J854" s="191"/>
      <c r="K854" s="191"/>
      <c r="L854" s="221"/>
      <c r="M854" s="221"/>
      <c r="N854" s="221"/>
      <c r="O854" s="221"/>
      <c r="P854" s="221"/>
    </row>
    <row r="855" spans="1:16" ht="15">
      <c r="A855" s="217"/>
      <c r="B855" s="218"/>
      <c r="C855" s="221"/>
      <c r="D855" s="222"/>
      <c r="E855" s="223"/>
      <c r="F855" s="221"/>
      <c r="G855" s="221"/>
      <c r="H855" s="191"/>
      <c r="I855" s="191"/>
      <c r="J855" s="191"/>
      <c r="K855" s="191"/>
      <c r="L855" s="221"/>
      <c r="M855" s="221"/>
      <c r="N855" s="221"/>
      <c r="O855" s="221"/>
      <c r="P855" s="221"/>
    </row>
    <row r="856" spans="1:16" ht="15">
      <c r="A856" s="217"/>
      <c r="B856" s="218"/>
      <c r="C856" s="221"/>
      <c r="D856" s="222"/>
      <c r="E856" s="223"/>
      <c r="F856" s="221"/>
      <c r="G856" s="221"/>
      <c r="H856" s="191"/>
      <c r="I856" s="191"/>
      <c r="J856" s="191"/>
      <c r="K856" s="191"/>
      <c r="L856" s="221"/>
      <c r="M856" s="221"/>
      <c r="N856" s="221"/>
      <c r="O856" s="221"/>
      <c r="P856" s="221"/>
    </row>
    <row r="857" spans="1:16" ht="15">
      <c r="A857" s="217"/>
      <c r="B857" s="218"/>
      <c r="C857" s="221"/>
      <c r="D857" s="222"/>
      <c r="E857" s="223"/>
      <c r="F857" s="221"/>
      <c r="G857" s="221"/>
      <c r="H857" s="191"/>
      <c r="I857" s="191"/>
      <c r="J857" s="191"/>
      <c r="K857" s="191"/>
      <c r="L857" s="221"/>
      <c r="M857" s="221"/>
      <c r="N857" s="221"/>
      <c r="O857" s="221"/>
      <c r="P857" s="221"/>
    </row>
    <row r="858" spans="1:16" ht="15">
      <c r="A858" s="217"/>
      <c r="B858" s="218"/>
      <c r="C858" s="221"/>
      <c r="D858" s="222"/>
      <c r="E858" s="223"/>
      <c r="F858" s="221"/>
      <c r="G858" s="221"/>
      <c r="H858" s="191"/>
      <c r="I858" s="191"/>
      <c r="J858" s="191"/>
      <c r="K858" s="191"/>
      <c r="L858" s="221"/>
      <c r="M858" s="221"/>
      <c r="N858" s="221"/>
      <c r="O858" s="221"/>
      <c r="P858" s="221"/>
    </row>
    <row r="859" spans="1:16" ht="15">
      <c r="A859" s="217"/>
      <c r="B859" s="218"/>
      <c r="C859" s="221"/>
      <c r="D859" s="222"/>
      <c r="E859" s="223"/>
      <c r="F859" s="221"/>
      <c r="G859" s="221"/>
      <c r="H859" s="191"/>
      <c r="I859" s="191"/>
      <c r="J859" s="191"/>
      <c r="K859" s="191"/>
      <c r="L859" s="221"/>
      <c r="M859" s="221"/>
      <c r="N859" s="221"/>
      <c r="O859" s="221"/>
      <c r="P859" s="221"/>
    </row>
    <row r="860" spans="1:16" ht="15">
      <c r="A860" s="217"/>
      <c r="B860" s="218"/>
      <c r="C860" s="221"/>
      <c r="D860" s="222"/>
      <c r="E860" s="223"/>
      <c r="F860" s="221"/>
      <c r="G860" s="221"/>
      <c r="H860" s="191"/>
      <c r="I860" s="191"/>
      <c r="J860" s="191"/>
      <c r="K860" s="191"/>
      <c r="L860" s="221"/>
      <c r="M860" s="221"/>
      <c r="N860" s="221"/>
      <c r="O860" s="221"/>
      <c r="P860" s="221"/>
    </row>
    <row r="861" spans="1:16" ht="15">
      <c r="A861" s="217"/>
      <c r="B861" s="218"/>
      <c r="C861" s="221"/>
      <c r="D861" s="222"/>
      <c r="E861" s="223"/>
      <c r="F861" s="221"/>
      <c r="G861" s="221"/>
      <c r="H861" s="191"/>
      <c r="I861" s="191"/>
      <c r="J861" s="191"/>
      <c r="K861" s="191"/>
      <c r="L861" s="221"/>
      <c r="M861" s="221"/>
      <c r="N861" s="221"/>
      <c r="O861" s="221"/>
      <c r="P861" s="221"/>
    </row>
    <row r="862" spans="1:16" ht="15">
      <c r="A862" s="217"/>
      <c r="B862" s="218"/>
      <c r="C862" s="221"/>
      <c r="D862" s="222"/>
      <c r="E862" s="223"/>
      <c r="F862" s="221"/>
      <c r="G862" s="221"/>
      <c r="H862" s="191"/>
      <c r="I862" s="191"/>
      <c r="J862" s="191"/>
      <c r="K862" s="191"/>
      <c r="L862" s="221"/>
      <c r="M862" s="221"/>
      <c r="N862" s="221"/>
      <c r="O862" s="221"/>
      <c r="P862" s="221"/>
    </row>
    <row r="863" spans="1:16" ht="15">
      <c r="A863" s="217"/>
      <c r="B863" s="218"/>
      <c r="C863" s="221"/>
      <c r="D863" s="222"/>
      <c r="E863" s="223"/>
      <c r="F863" s="221"/>
      <c r="G863" s="221"/>
      <c r="H863" s="191"/>
      <c r="I863" s="191"/>
      <c r="J863" s="191"/>
      <c r="K863" s="191"/>
      <c r="L863" s="221"/>
      <c r="M863" s="221"/>
      <c r="N863" s="221"/>
      <c r="O863" s="221"/>
      <c r="P863" s="221"/>
    </row>
    <row r="864" spans="1:16" ht="15">
      <c r="A864" s="217"/>
      <c r="B864" s="218"/>
      <c r="C864" s="221"/>
      <c r="D864" s="222"/>
      <c r="E864" s="223"/>
      <c r="F864" s="221"/>
      <c r="G864" s="221"/>
      <c r="H864" s="191"/>
      <c r="I864" s="191"/>
      <c r="J864" s="191"/>
      <c r="K864" s="191"/>
      <c r="L864" s="221"/>
      <c r="M864" s="221"/>
      <c r="N864" s="221"/>
      <c r="O864" s="221"/>
      <c r="P864" s="221"/>
    </row>
    <row r="865" spans="1:16" ht="15">
      <c r="A865" s="217"/>
      <c r="B865" s="218"/>
      <c r="C865" s="221"/>
      <c r="D865" s="222"/>
      <c r="E865" s="223"/>
      <c r="F865" s="221"/>
      <c r="G865" s="221"/>
      <c r="H865" s="191"/>
      <c r="I865" s="191"/>
      <c r="J865" s="191"/>
      <c r="K865" s="191"/>
      <c r="L865" s="221"/>
      <c r="M865" s="221"/>
      <c r="N865" s="221"/>
      <c r="O865" s="221"/>
      <c r="P865" s="221"/>
    </row>
    <row r="866" spans="1:16" ht="15">
      <c r="A866" s="217"/>
      <c r="B866" s="218"/>
      <c r="C866" s="221"/>
      <c r="D866" s="222"/>
      <c r="E866" s="223"/>
      <c r="F866" s="221"/>
      <c r="G866" s="221"/>
      <c r="H866" s="191"/>
      <c r="I866" s="191"/>
      <c r="J866" s="191"/>
      <c r="K866" s="191"/>
      <c r="L866" s="221"/>
      <c r="M866" s="221"/>
      <c r="N866" s="221"/>
      <c r="O866" s="221"/>
      <c r="P866" s="221"/>
    </row>
    <row r="867" spans="1:16" ht="15">
      <c r="A867" s="217"/>
      <c r="B867" s="218"/>
      <c r="C867" s="221"/>
      <c r="D867" s="222"/>
      <c r="E867" s="223"/>
      <c r="F867" s="221"/>
      <c r="G867" s="221"/>
      <c r="H867" s="191"/>
      <c r="I867" s="191"/>
      <c r="J867" s="191"/>
      <c r="K867" s="191"/>
      <c r="L867" s="221"/>
      <c r="M867" s="221"/>
      <c r="N867" s="221"/>
      <c r="O867" s="221"/>
      <c r="P867" s="221"/>
    </row>
    <row r="868" spans="1:16" ht="15">
      <c r="A868" s="217"/>
      <c r="B868" s="218"/>
      <c r="C868" s="221"/>
      <c r="D868" s="222"/>
      <c r="E868" s="223"/>
      <c r="F868" s="221"/>
      <c r="G868" s="221"/>
      <c r="H868" s="191"/>
      <c r="I868" s="191"/>
      <c r="J868" s="191"/>
      <c r="K868" s="191"/>
      <c r="L868" s="221"/>
      <c r="M868" s="221"/>
      <c r="N868" s="221"/>
      <c r="O868" s="221"/>
      <c r="P868" s="221"/>
    </row>
    <row r="869" spans="1:16" ht="15">
      <c r="A869" s="217"/>
      <c r="B869" s="218"/>
      <c r="C869" s="221"/>
      <c r="D869" s="222"/>
      <c r="E869" s="223"/>
      <c r="F869" s="221"/>
      <c r="G869" s="221"/>
      <c r="H869" s="191"/>
      <c r="I869" s="191"/>
      <c r="J869" s="191"/>
      <c r="K869" s="191"/>
      <c r="L869" s="221"/>
      <c r="M869" s="221"/>
      <c r="N869" s="221"/>
      <c r="O869" s="221"/>
      <c r="P869" s="221"/>
    </row>
    <row r="870" spans="1:16" ht="15">
      <c r="A870" s="217"/>
      <c r="B870" s="218"/>
      <c r="C870" s="221"/>
      <c r="D870" s="222"/>
      <c r="E870" s="223"/>
      <c r="F870" s="221"/>
      <c r="G870" s="221"/>
      <c r="H870" s="191"/>
      <c r="I870" s="191"/>
      <c r="J870" s="191"/>
      <c r="K870" s="191"/>
      <c r="L870" s="221"/>
      <c r="M870" s="221"/>
      <c r="N870" s="221"/>
      <c r="O870" s="221"/>
      <c r="P870" s="221"/>
    </row>
    <row r="871" spans="1:16" ht="15">
      <c r="A871" s="217"/>
      <c r="B871" s="218"/>
      <c r="C871" s="221"/>
      <c r="D871" s="222"/>
      <c r="E871" s="223"/>
      <c r="F871" s="221"/>
      <c r="G871" s="221"/>
      <c r="H871" s="191"/>
      <c r="I871" s="191"/>
      <c r="J871" s="191"/>
      <c r="K871" s="191"/>
      <c r="L871" s="221"/>
      <c r="M871" s="221"/>
      <c r="N871" s="221"/>
      <c r="O871" s="221"/>
      <c r="P871" s="221"/>
    </row>
    <row r="872" spans="1:16" ht="15">
      <c r="A872" s="217"/>
      <c r="B872" s="218"/>
      <c r="C872" s="221"/>
      <c r="D872" s="222"/>
      <c r="E872" s="223"/>
      <c r="F872" s="221"/>
      <c r="G872" s="221"/>
      <c r="H872" s="191"/>
      <c r="I872" s="191"/>
      <c r="J872" s="191"/>
      <c r="K872" s="191"/>
      <c r="L872" s="221"/>
      <c r="M872" s="221"/>
      <c r="N872" s="221"/>
      <c r="O872" s="221"/>
      <c r="P872" s="221"/>
    </row>
    <row r="873" spans="1:16" ht="15">
      <c r="A873" s="217"/>
      <c r="B873" s="218"/>
      <c r="C873" s="221"/>
      <c r="D873" s="222"/>
      <c r="E873" s="223"/>
      <c r="F873" s="221"/>
      <c r="G873" s="221"/>
      <c r="H873" s="191"/>
      <c r="I873" s="191"/>
      <c r="J873" s="191"/>
      <c r="K873" s="191"/>
      <c r="L873" s="221"/>
      <c r="M873" s="221"/>
      <c r="N873" s="221"/>
      <c r="O873" s="221"/>
      <c r="P873" s="221"/>
    </row>
    <row r="874" spans="1:16" ht="15">
      <c r="A874" s="217"/>
      <c r="B874" s="218"/>
      <c r="C874" s="221"/>
      <c r="D874" s="222"/>
      <c r="E874" s="223"/>
      <c r="F874" s="221"/>
      <c r="G874" s="221"/>
      <c r="H874" s="191"/>
      <c r="I874" s="191"/>
      <c r="J874" s="191"/>
      <c r="K874" s="191"/>
      <c r="L874" s="221"/>
      <c r="M874" s="221"/>
      <c r="N874" s="221"/>
      <c r="O874" s="221"/>
      <c r="P874" s="221"/>
    </row>
    <row r="875" spans="1:16" ht="15">
      <c r="A875" s="217"/>
      <c r="B875" s="218"/>
      <c r="C875" s="221"/>
      <c r="D875" s="222"/>
      <c r="E875" s="223"/>
      <c r="F875" s="221"/>
      <c r="G875" s="221"/>
      <c r="H875" s="191"/>
      <c r="I875" s="191"/>
      <c r="J875" s="191"/>
      <c r="K875" s="191"/>
      <c r="L875" s="221"/>
      <c r="M875" s="221"/>
      <c r="N875" s="221"/>
      <c r="O875" s="221"/>
      <c r="P875" s="221"/>
    </row>
    <row r="876" spans="1:16" ht="15">
      <c r="A876" s="217"/>
      <c r="B876" s="218"/>
      <c r="C876" s="221"/>
      <c r="D876" s="222"/>
      <c r="E876" s="223"/>
      <c r="F876" s="221"/>
      <c r="G876" s="221"/>
      <c r="H876" s="191"/>
      <c r="I876" s="191"/>
      <c r="J876" s="191"/>
      <c r="K876" s="191"/>
      <c r="L876" s="221"/>
      <c r="M876" s="221"/>
      <c r="N876" s="221"/>
      <c r="O876" s="221"/>
      <c r="P876" s="221"/>
    </row>
    <row r="877" spans="1:16" ht="15">
      <c r="A877" s="217"/>
      <c r="B877" s="218"/>
      <c r="C877" s="221"/>
      <c r="D877" s="222"/>
      <c r="E877" s="223"/>
      <c r="F877" s="221"/>
      <c r="G877" s="221"/>
      <c r="H877" s="191"/>
      <c r="I877" s="191"/>
      <c r="J877" s="191"/>
      <c r="K877" s="191"/>
      <c r="L877" s="221"/>
      <c r="M877" s="221"/>
      <c r="N877" s="221"/>
      <c r="O877" s="221"/>
      <c r="P877" s="221"/>
    </row>
    <row r="878" spans="1:16" ht="15">
      <c r="A878" s="329"/>
      <c r="B878" s="191"/>
      <c r="C878" s="221"/>
      <c r="D878" s="221"/>
      <c r="E878" s="223"/>
      <c r="F878" s="221"/>
      <c r="G878" s="221"/>
      <c r="H878" s="191"/>
      <c r="I878" s="191"/>
      <c r="J878" s="191"/>
      <c r="K878" s="191"/>
      <c r="L878" s="221"/>
      <c r="M878" s="221"/>
      <c r="N878" s="221"/>
      <c r="O878" s="221"/>
      <c r="P878" s="221"/>
    </row>
    <row r="879" spans="1:16" ht="15">
      <c r="A879" s="329"/>
      <c r="B879" s="191"/>
      <c r="C879" s="221"/>
      <c r="D879" s="221"/>
      <c r="E879" s="223"/>
      <c r="F879" s="221"/>
      <c r="G879" s="221"/>
      <c r="H879" s="191"/>
      <c r="I879" s="191"/>
      <c r="J879" s="191"/>
      <c r="K879" s="191"/>
      <c r="L879" s="221"/>
      <c r="M879" s="221"/>
      <c r="N879" s="221"/>
      <c r="O879" s="221"/>
      <c r="P879" s="221"/>
    </row>
    <row r="880" spans="1:16" ht="15">
      <c r="A880" s="329"/>
      <c r="B880" s="191"/>
      <c r="C880" s="221"/>
      <c r="D880" s="221"/>
      <c r="E880" s="223"/>
      <c r="F880" s="221"/>
      <c r="G880" s="221"/>
      <c r="H880" s="191"/>
      <c r="I880" s="191"/>
      <c r="J880" s="191"/>
      <c r="K880" s="191"/>
      <c r="L880" s="221"/>
      <c r="M880" s="221"/>
      <c r="N880" s="221"/>
      <c r="O880" s="221"/>
      <c r="P880" s="221"/>
    </row>
    <row r="881" spans="1:16" ht="15">
      <c r="A881" s="329"/>
      <c r="B881" s="191"/>
      <c r="C881" s="221"/>
      <c r="D881" s="221"/>
      <c r="E881" s="223"/>
      <c r="F881" s="221"/>
      <c r="G881" s="221"/>
      <c r="H881" s="191"/>
      <c r="I881" s="191"/>
      <c r="J881" s="191"/>
      <c r="K881" s="191"/>
      <c r="L881" s="221"/>
      <c r="M881" s="221"/>
      <c r="N881" s="221"/>
      <c r="O881" s="221"/>
      <c r="P881" s="221"/>
    </row>
    <row r="882" spans="1:16" ht="15">
      <c r="A882" s="329"/>
      <c r="B882" s="191"/>
      <c r="C882" s="221"/>
      <c r="D882" s="221"/>
      <c r="E882" s="223"/>
      <c r="F882" s="221"/>
      <c r="G882" s="221"/>
      <c r="H882" s="191"/>
      <c r="I882" s="191"/>
      <c r="J882" s="191"/>
      <c r="K882" s="191"/>
      <c r="L882" s="221"/>
      <c r="M882" s="221"/>
      <c r="N882" s="221"/>
      <c r="O882" s="221"/>
      <c r="P882" s="221"/>
    </row>
    <row r="883" spans="1:16" ht="15">
      <c r="I883" s="191"/>
      <c r="J883" s="191"/>
      <c r="K883" s="191"/>
      <c r="L883" s="221"/>
      <c r="M883" s="221"/>
      <c r="N883" s="221"/>
      <c r="O883" s="221"/>
      <c r="P883" s="221"/>
    </row>
  </sheetData>
  <mergeCells count="2">
    <mergeCell ref="A1:G1"/>
    <mergeCell ref="J1:P1"/>
  </mergeCells>
  <printOptions horizontalCentered="1" gridLines="1"/>
  <pageMargins left="0.25590551181102361" right="0.25590551181102361" top="0.78740157480314954" bottom="1.1811023622047243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FLUJO DE CAJA</vt:lpstr>
      <vt:lpstr>RESUMEN CIERRE</vt:lpstr>
      <vt:lpstr>VENTAS</vt:lpstr>
      <vt:lpstr>COMPRAS</vt:lpstr>
      <vt:lpstr>RECARGA MP</vt:lpstr>
      <vt:lpstr>INSUMOS</vt:lpstr>
      <vt:lpstr>SIC</vt:lpstr>
      <vt:lpstr>TRANSFERENCIAS</vt:lpstr>
      <vt:lpstr>OGI</vt:lpstr>
      <vt:lpstr>SUELDOS</vt:lpstr>
      <vt:lpstr>PRESUPUESTO</vt:lpstr>
      <vt:lpstr>INVENTARIO</vt:lpstr>
      <vt:lpstr>ESTADOS FINANCIEROS</vt:lpstr>
      <vt:lpstr>EGP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Farrera</cp:lastModifiedBy>
  <dcterms:created xsi:type="dcterms:W3CDTF">2023-04-15T23:15:15Z</dcterms:created>
  <dcterms:modified xsi:type="dcterms:W3CDTF">2023-09-15T19:18:40Z</dcterms:modified>
</cp:coreProperties>
</file>