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isdavalos/Desktop/"/>
    </mc:Choice>
  </mc:AlternateContent>
  <bookViews>
    <workbookView xWindow="20" yWindow="460" windowWidth="25580" windowHeight="14340" tabRatio="500" firstSheet="6" activeTab="9" xr2:uid="{00000000-000D-0000-FFFF-FFFF00000000}"/>
  </bookViews>
  <sheets>
    <sheet name="Comps" sheetId="7" r:id="rId1"/>
    <sheet name="DCF" sheetId="1" r:id="rId2"/>
    <sheet name="Sheet2" sheetId="2" r:id="rId3"/>
    <sheet name="Residual" sheetId="8" r:id="rId4"/>
    <sheet name="Valueline" sheetId="6" r:id="rId5"/>
    <sheet name="income Statement" sheetId="3" r:id="rId6"/>
    <sheet name="Balance Sheet" sheetId="4" r:id="rId7"/>
    <sheet name="Cash Flow" sheetId="5" r:id="rId8"/>
    <sheet name="Charts " sheetId="9" r:id="rId9"/>
    <sheet name="Sensitivity Analysis" sheetId="10" r:id="rId10"/>
    <sheet name="Football Analysis" sheetId="11" r:id="rId11"/>
  </sheets>
  <externalReferences>
    <externalReference r:id="rId12"/>
  </externalReferenc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0" l="1"/>
  <c r="D8" i="10"/>
  <c r="D9" i="10"/>
  <c r="D10" i="10"/>
  <c r="D11" i="10"/>
  <c r="D12" i="10"/>
  <c r="D13" i="10"/>
  <c r="D14" i="10"/>
  <c r="D15" i="10"/>
  <c r="D16" i="10"/>
  <c r="D6" i="10"/>
  <c r="I7" i="10"/>
  <c r="I8" i="10"/>
  <c r="I9" i="10"/>
  <c r="I10" i="10"/>
  <c r="I11" i="10"/>
  <c r="I12" i="10"/>
  <c r="I13" i="10"/>
  <c r="I14" i="10"/>
  <c r="I15" i="10"/>
  <c r="I16" i="10"/>
  <c r="I6" i="10"/>
  <c r="H7" i="10"/>
  <c r="H8" i="10"/>
  <c r="H9" i="10"/>
  <c r="H10" i="10"/>
  <c r="H11" i="10"/>
  <c r="H12" i="10"/>
  <c r="H13" i="10"/>
  <c r="H14" i="10"/>
  <c r="H15" i="10"/>
  <c r="H16" i="10"/>
  <c r="H6" i="10"/>
  <c r="G7" i="10"/>
  <c r="G8" i="10"/>
  <c r="G9" i="10"/>
  <c r="G10" i="10"/>
  <c r="G11" i="10"/>
  <c r="G12" i="10"/>
  <c r="G13" i="10"/>
  <c r="G14" i="10"/>
  <c r="G15" i="10"/>
  <c r="G16" i="10"/>
  <c r="G6" i="10"/>
  <c r="F7" i="10"/>
  <c r="F8" i="10"/>
  <c r="F9" i="10"/>
  <c r="F10" i="10"/>
  <c r="F11" i="10"/>
  <c r="F12" i="10"/>
  <c r="F13" i="10"/>
  <c r="F14" i="10"/>
  <c r="F15" i="10"/>
  <c r="F16" i="10"/>
  <c r="F6" i="10"/>
  <c r="E7" i="10"/>
  <c r="E8" i="10"/>
  <c r="E9" i="10"/>
  <c r="E10" i="10"/>
  <c r="E11" i="10"/>
  <c r="E12" i="10"/>
  <c r="E13" i="10"/>
  <c r="E14" i="10"/>
  <c r="E15" i="10"/>
  <c r="E16" i="10"/>
  <c r="E6" i="10"/>
  <c r="C7" i="10"/>
  <c r="C8" i="10"/>
  <c r="C9" i="10"/>
  <c r="C10" i="10"/>
  <c r="C11" i="10"/>
  <c r="C12" i="10"/>
  <c r="C13" i="10"/>
  <c r="C14" i="10"/>
  <c r="C15" i="10"/>
  <c r="C16" i="10"/>
  <c r="C6" i="10"/>
  <c r="C10" i="8"/>
  <c r="B9" i="8"/>
  <c r="C15" i="8" s="1"/>
  <c r="C16" i="8" s="1"/>
  <c r="C17" i="8" s="1"/>
  <c r="B12" i="8"/>
  <c r="D10" i="8"/>
  <c r="C11" i="8"/>
  <c r="C13" i="8" s="1"/>
  <c r="D103" i="1"/>
  <c r="L27" i="1"/>
  <c r="L32" i="1" s="1"/>
  <c r="N93" i="1"/>
  <c r="N94" i="1"/>
  <c r="N95" i="1"/>
  <c r="L12" i="1"/>
  <c r="J27" i="1"/>
  <c r="L93" i="1"/>
  <c r="L95" i="1" s="1"/>
  <c r="J12" i="1" s="1"/>
  <c r="L94" i="1"/>
  <c r="K27" i="1"/>
  <c r="K32" i="1" s="1"/>
  <c r="M93" i="1"/>
  <c r="M94" i="1"/>
  <c r="M95" i="1" s="1"/>
  <c r="K12" i="1" s="1"/>
  <c r="L17" i="1"/>
  <c r="J17" i="1"/>
  <c r="K17" i="1"/>
  <c r="L6" i="1"/>
  <c r="J6" i="1"/>
  <c r="K6" i="1"/>
  <c r="L11" i="1"/>
  <c r="J11" i="1"/>
  <c r="K11" i="1"/>
  <c r="H27" i="1"/>
  <c r="L5" i="2" s="1"/>
  <c r="H17" i="1"/>
  <c r="I27" i="1"/>
  <c r="I29" i="1" s="1"/>
  <c r="I17" i="1"/>
  <c r="H6" i="1"/>
  <c r="H30" i="1"/>
  <c r="I6" i="1"/>
  <c r="I30" i="1"/>
  <c r="J93" i="1"/>
  <c r="H11" i="1"/>
  <c r="K93" i="1"/>
  <c r="I11" i="1" s="1"/>
  <c r="I31" i="1" s="1"/>
  <c r="J94" i="1"/>
  <c r="J95" i="1"/>
  <c r="H12" i="1" s="1"/>
  <c r="H32" i="1" s="1"/>
  <c r="K94" i="1"/>
  <c r="L9" i="1"/>
  <c r="L28" i="1"/>
  <c r="P28" i="1" s="1"/>
  <c r="J9" i="1"/>
  <c r="J28" i="1"/>
  <c r="M28" i="1" s="1"/>
  <c r="K9" i="1"/>
  <c r="V9" i="1" s="1"/>
  <c r="Y9" i="1" s="1"/>
  <c r="K28" i="1"/>
  <c r="H9" i="1"/>
  <c r="H28" i="1"/>
  <c r="N28" i="1" s="1"/>
  <c r="I9" i="1"/>
  <c r="I28" i="1"/>
  <c r="L16" i="1"/>
  <c r="J16" i="1"/>
  <c r="I16" i="1"/>
  <c r="U16" i="1"/>
  <c r="K16" i="1"/>
  <c r="V16" i="1"/>
  <c r="W16" i="1"/>
  <c r="X16" i="1"/>
  <c r="O16" i="1" s="1"/>
  <c r="Y16" i="1"/>
  <c r="O17" i="1"/>
  <c r="P17" i="1" s="1"/>
  <c r="U9" i="1"/>
  <c r="X9" i="1" s="1"/>
  <c r="O9" i="1" s="1"/>
  <c r="W9" i="1"/>
  <c r="L24" i="1"/>
  <c r="L14" i="1"/>
  <c r="W14" i="1" s="1"/>
  <c r="J14" i="1"/>
  <c r="I14" i="1"/>
  <c r="U14" i="1" s="1"/>
  <c r="K14" i="1"/>
  <c r="V14" i="1" s="1"/>
  <c r="Y14" i="1" s="1"/>
  <c r="B23" i="1"/>
  <c r="U6" i="1"/>
  <c r="X6" i="1" s="1"/>
  <c r="O6" i="1" s="1"/>
  <c r="V6" i="1"/>
  <c r="W6" i="1"/>
  <c r="Y6" i="1" s="1"/>
  <c r="L8" i="1"/>
  <c r="W8" i="1" s="1"/>
  <c r="Y8" i="1" s="1"/>
  <c r="J8" i="1"/>
  <c r="U8" i="1" s="1"/>
  <c r="X8" i="1" s="1"/>
  <c r="O8" i="1" s="1"/>
  <c r="I8" i="1"/>
  <c r="K8" i="1"/>
  <c r="V8" i="1"/>
  <c r="L7" i="1"/>
  <c r="W7" i="1" s="1"/>
  <c r="J7" i="1"/>
  <c r="I7" i="1"/>
  <c r="U7" i="1" s="1"/>
  <c r="X7" i="1" s="1"/>
  <c r="O7" i="1" s="1"/>
  <c r="K7" i="1"/>
  <c r="V7" i="1" s="1"/>
  <c r="L10" i="1"/>
  <c r="J10" i="1"/>
  <c r="U10" i="1" s="1"/>
  <c r="X10" i="1" s="1"/>
  <c r="O10" i="1" s="1"/>
  <c r="P10" i="1" s="1"/>
  <c r="I10" i="1"/>
  <c r="K10" i="1"/>
  <c r="V10" i="1" s="1"/>
  <c r="Y10" i="1" s="1"/>
  <c r="W10" i="1"/>
  <c r="V11" i="1"/>
  <c r="W11" i="1"/>
  <c r="Y11" i="1"/>
  <c r="N98" i="1"/>
  <c r="N100" i="1" s="1"/>
  <c r="N101" i="1" s="1"/>
  <c r="N104" i="1" s="1"/>
  <c r="L13" i="1" s="1"/>
  <c r="N99" i="1"/>
  <c r="N103" i="1"/>
  <c r="L98" i="1"/>
  <c r="L99" i="1" s="1"/>
  <c r="L100" i="1" s="1"/>
  <c r="L101" i="1" s="1"/>
  <c r="L104" i="1" s="1"/>
  <c r="J13" i="1" s="1"/>
  <c r="L103" i="1"/>
  <c r="K98" i="1"/>
  <c r="K99" i="1"/>
  <c r="K100" i="1" s="1"/>
  <c r="K101" i="1" s="1"/>
  <c r="K104" i="1" s="1"/>
  <c r="I13" i="1" s="1"/>
  <c r="K103" i="1"/>
  <c r="M98" i="1"/>
  <c r="M99" i="1"/>
  <c r="M100" i="1" s="1"/>
  <c r="M101" i="1" s="1"/>
  <c r="M104" i="1" s="1"/>
  <c r="K13" i="1" s="1"/>
  <c r="V13" i="1" s="1"/>
  <c r="M103" i="1"/>
  <c r="L15" i="1"/>
  <c r="J15" i="1"/>
  <c r="U15" i="1" s="1"/>
  <c r="I15" i="1"/>
  <c r="K15" i="1"/>
  <c r="V15" i="1" s="1"/>
  <c r="Y15" i="1" s="1"/>
  <c r="W15" i="1"/>
  <c r="B27" i="1"/>
  <c r="B9" i="1"/>
  <c r="K6" i="2" s="1"/>
  <c r="B14" i="1"/>
  <c r="C9" i="1"/>
  <c r="D4" i="2" s="1"/>
  <c r="C14" i="1"/>
  <c r="D9" i="1"/>
  <c r="D14" i="1"/>
  <c r="E9" i="1"/>
  <c r="I5" i="2" s="1"/>
  <c r="E14" i="1"/>
  <c r="F9" i="1"/>
  <c r="J5" i="2" s="1"/>
  <c r="F14" i="1"/>
  <c r="G9" i="1"/>
  <c r="H4" i="2" s="1"/>
  <c r="G14" i="1"/>
  <c r="H14" i="1"/>
  <c r="C27" i="1"/>
  <c r="G5" i="2" s="1"/>
  <c r="F27" i="1"/>
  <c r="F4" i="2" s="1"/>
  <c r="F5" i="2"/>
  <c r="G27" i="1"/>
  <c r="D27" i="1"/>
  <c r="H5" i="2"/>
  <c r="E27" i="1"/>
  <c r="K5" i="2"/>
  <c r="E4" i="2"/>
  <c r="G4" i="2"/>
  <c r="I4" i="2"/>
  <c r="K4" i="2"/>
  <c r="L4" i="2"/>
  <c r="B3" i="8"/>
  <c r="C3" i="8"/>
  <c r="C4" i="8" s="1"/>
  <c r="C5" i="8" s="1"/>
  <c r="C6" i="8" s="1"/>
  <c r="D3" i="8"/>
  <c r="E3" i="8"/>
  <c r="E4" i="8" s="1"/>
  <c r="E5" i="8" s="1"/>
  <c r="E6" i="8" s="1"/>
  <c r="F3" i="8"/>
  <c r="G3" i="8"/>
  <c r="G4" i="8" s="1"/>
  <c r="G5" i="8" s="1"/>
  <c r="G6" i="8" s="1"/>
  <c r="H3" i="8"/>
  <c r="I3" i="8"/>
  <c r="I4" i="8" s="1"/>
  <c r="I5" i="8" s="1"/>
  <c r="I6" i="8" s="1"/>
  <c r="J3" i="8"/>
  <c r="K3" i="8"/>
  <c r="K4" i="8" s="1"/>
  <c r="K5" i="8" s="1"/>
  <c r="K6" i="8" s="1"/>
  <c r="L3" i="8"/>
  <c r="B4" i="8"/>
  <c r="B5" i="8" s="1"/>
  <c r="B6" i="8" s="1"/>
  <c r="D4" i="8"/>
  <c r="D5" i="8" s="1"/>
  <c r="D6" i="8" s="1"/>
  <c r="F4" i="8"/>
  <c r="F5" i="8" s="1"/>
  <c r="F6" i="8" s="1"/>
  <c r="H4" i="8"/>
  <c r="H5" i="8" s="1"/>
  <c r="H6" i="8" s="1"/>
  <c r="J4" i="8"/>
  <c r="J5" i="8" s="1"/>
  <c r="J6" i="8" s="1"/>
  <c r="L4" i="8"/>
  <c r="L5" i="8" s="1"/>
  <c r="L6" i="8" s="1"/>
  <c r="B10" i="8"/>
  <c r="B11" i="8"/>
  <c r="D11" i="8"/>
  <c r="F31" i="2"/>
  <c r="D43" i="1"/>
  <c r="E43" i="1"/>
  <c r="F43" i="1"/>
  <c r="G43" i="1"/>
  <c r="H43" i="1"/>
  <c r="I43" i="1"/>
  <c r="J43" i="1"/>
  <c r="K43" i="1"/>
  <c r="L43" i="1"/>
  <c r="C43" i="1"/>
  <c r="A44" i="7"/>
  <c r="A51" i="7"/>
  <c r="S8" i="7"/>
  <c r="S9" i="7"/>
  <c r="S10" i="7"/>
  <c r="S11" i="7"/>
  <c r="S12" i="7"/>
  <c r="S15" i="7"/>
  <c r="D50" i="7" s="1"/>
  <c r="F50" i="7" s="1"/>
  <c r="I50" i="7" s="1"/>
  <c r="L50" i="7" s="1"/>
  <c r="B50" i="7"/>
  <c r="G50" i="7"/>
  <c r="G36" i="7"/>
  <c r="J50" i="7" s="1"/>
  <c r="C50" i="7"/>
  <c r="E50" i="7"/>
  <c r="H50" i="7" s="1"/>
  <c r="K50" i="7" s="1"/>
  <c r="A43" i="7"/>
  <c r="A50" i="7"/>
  <c r="R8" i="7"/>
  <c r="R9" i="7"/>
  <c r="R10" i="7"/>
  <c r="R11" i="7"/>
  <c r="R12" i="7"/>
  <c r="R15" i="7"/>
  <c r="D49" i="7" s="1"/>
  <c r="F49" i="7" s="1"/>
  <c r="I49" i="7" s="1"/>
  <c r="L49" i="7" s="1"/>
  <c r="B49" i="7"/>
  <c r="G49" i="7"/>
  <c r="G35" i="7"/>
  <c r="J49" i="7" s="1"/>
  <c r="E8" i="7"/>
  <c r="F8" i="7"/>
  <c r="M8" i="7" s="1"/>
  <c r="E9" i="7"/>
  <c r="F9" i="7" s="1"/>
  <c r="E10" i="7"/>
  <c r="F10" i="7"/>
  <c r="M10" i="7" s="1"/>
  <c r="E11" i="7"/>
  <c r="N11" i="7" s="1"/>
  <c r="E12" i="7"/>
  <c r="F12" i="7"/>
  <c r="M12" i="7" s="1"/>
  <c r="A42" i="7"/>
  <c r="A49" i="7" s="1"/>
  <c r="N8" i="7"/>
  <c r="N10" i="7"/>
  <c r="N12" i="7"/>
  <c r="B43" i="7"/>
  <c r="J43" i="7"/>
  <c r="B42" i="7"/>
  <c r="J42" i="7"/>
  <c r="B36" i="7"/>
  <c r="J36" i="7"/>
  <c r="B35" i="7"/>
  <c r="J35" i="7"/>
  <c r="S16" i="7"/>
  <c r="R16" i="7"/>
  <c r="Q8" i="7"/>
  <c r="Q9" i="7"/>
  <c r="Q10" i="7"/>
  <c r="Q11" i="7"/>
  <c r="Q12" i="7"/>
  <c r="P8" i="7"/>
  <c r="P9" i="7"/>
  <c r="P10" i="7"/>
  <c r="P11" i="7"/>
  <c r="P12" i="7"/>
  <c r="P16" i="7"/>
  <c r="H8" i="7"/>
  <c r="H10" i="7"/>
  <c r="H12" i="7"/>
  <c r="G8" i="7"/>
  <c r="G9" i="7"/>
  <c r="G10" i="7"/>
  <c r="G12" i="7"/>
  <c r="D12" i="7"/>
  <c r="D11" i="7"/>
  <c r="D10" i="7"/>
  <c r="D9" i="7"/>
  <c r="D8" i="7"/>
  <c r="L6" i="7"/>
  <c r="O6" i="7"/>
  <c r="T6" i="7" s="1"/>
  <c r="K6" i="7"/>
  <c r="N6" i="7"/>
  <c r="S6" i="7"/>
  <c r="R6" i="7"/>
  <c r="M6" i="7"/>
  <c r="J6" i="7"/>
  <c r="P5" i="7"/>
  <c r="B8" i="1"/>
  <c r="B20" i="1" s="1"/>
  <c r="B6" i="1"/>
  <c r="C8" i="1"/>
  <c r="C6" i="1"/>
  <c r="C30" i="1" s="1"/>
  <c r="D8" i="1"/>
  <c r="D6" i="1"/>
  <c r="D20" i="1"/>
  <c r="E8" i="1"/>
  <c r="E6" i="1"/>
  <c r="E20" i="1"/>
  <c r="F8" i="1"/>
  <c r="F20" i="1" s="1"/>
  <c r="F6" i="1"/>
  <c r="G8" i="1"/>
  <c r="G20" i="1" s="1"/>
  <c r="G6" i="1"/>
  <c r="H8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O22" i="1"/>
  <c r="C23" i="1"/>
  <c r="D23" i="1"/>
  <c r="E23" i="1"/>
  <c r="F23" i="1"/>
  <c r="G23" i="1"/>
  <c r="H23" i="1"/>
  <c r="I23" i="1"/>
  <c r="J23" i="1"/>
  <c r="D30" i="2" s="1"/>
  <c r="K23" i="1"/>
  <c r="L23" i="1"/>
  <c r="B24" i="1"/>
  <c r="C24" i="1"/>
  <c r="C37" i="1" s="1"/>
  <c r="D24" i="1"/>
  <c r="E24" i="1"/>
  <c r="F24" i="1"/>
  <c r="G24" i="1"/>
  <c r="G37" i="1" s="1"/>
  <c r="H24" i="1"/>
  <c r="I24" i="1"/>
  <c r="J24" i="1"/>
  <c r="K24" i="1"/>
  <c r="K37" i="1" s="1"/>
  <c r="N37" i="1" s="1"/>
  <c r="B26" i="1"/>
  <c r="C26" i="1"/>
  <c r="D26" i="1"/>
  <c r="E26" i="1"/>
  <c r="F26" i="1"/>
  <c r="G26" i="1"/>
  <c r="H26" i="1"/>
  <c r="I26" i="1"/>
  <c r="J26" i="1"/>
  <c r="K26" i="1"/>
  <c r="L26" i="1"/>
  <c r="B19" i="1"/>
  <c r="C19" i="1"/>
  <c r="D19" i="1"/>
  <c r="E19" i="1"/>
  <c r="F19" i="1"/>
  <c r="G19" i="1"/>
  <c r="H19" i="1"/>
  <c r="I19" i="1"/>
  <c r="J19" i="1"/>
  <c r="M19" i="1" s="1"/>
  <c r="K19" i="1"/>
  <c r="L19" i="1"/>
  <c r="M10" i="1"/>
  <c r="M6" i="1"/>
  <c r="H10" i="1"/>
  <c r="N10" i="1" s="1"/>
  <c r="N6" i="1"/>
  <c r="L16" i="2"/>
  <c r="K16" i="2"/>
  <c r="C17" i="1"/>
  <c r="C29" i="1" s="1"/>
  <c r="D17" i="1"/>
  <c r="D29" i="1"/>
  <c r="E17" i="1"/>
  <c r="E29" i="1" s="1"/>
  <c r="F17" i="1"/>
  <c r="F29" i="1"/>
  <c r="G17" i="1"/>
  <c r="G29" i="1" s="1"/>
  <c r="B7" i="1"/>
  <c r="C7" i="1"/>
  <c r="D7" i="1"/>
  <c r="E7" i="1"/>
  <c r="F7" i="1"/>
  <c r="G7" i="1"/>
  <c r="H7" i="1"/>
  <c r="M7" i="1"/>
  <c r="N7" i="1"/>
  <c r="L27" i="2"/>
  <c r="L25" i="2"/>
  <c r="K27" i="2"/>
  <c r="K25" i="2"/>
  <c r="L19" i="2"/>
  <c r="L18" i="2"/>
  <c r="L17" i="2"/>
  <c r="K19" i="2"/>
  <c r="K18" i="2"/>
  <c r="K17" i="2"/>
  <c r="E18" i="2"/>
  <c r="D18" i="2"/>
  <c r="C18" i="2"/>
  <c r="C28" i="1"/>
  <c r="D28" i="1"/>
  <c r="E28" i="1"/>
  <c r="F28" i="1"/>
  <c r="G28" i="1"/>
  <c r="D30" i="1"/>
  <c r="E30" i="1"/>
  <c r="F30" i="1"/>
  <c r="G30" i="1"/>
  <c r="E93" i="1"/>
  <c r="E95" i="1" s="1"/>
  <c r="C12" i="1" s="1"/>
  <c r="C32" i="1" s="1"/>
  <c r="C11" i="1"/>
  <c r="C31" i="1" s="1"/>
  <c r="F93" i="1"/>
  <c r="D11" i="1"/>
  <c r="D31" i="1"/>
  <c r="G93" i="1"/>
  <c r="E11" i="1" s="1"/>
  <c r="E31" i="1" s="1"/>
  <c r="H93" i="1"/>
  <c r="F11" i="1" s="1"/>
  <c r="F31" i="1" s="1"/>
  <c r="I93" i="1"/>
  <c r="G11" i="1"/>
  <c r="G31" i="1" s="1"/>
  <c r="L25" i="1"/>
  <c r="E29" i="2"/>
  <c r="H29" i="2" s="1"/>
  <c r="E28" i="2"/>
  <c r="H28" i="2"/>
  <c r="E27" i="2"/>
  <c r="H27" i="2" s="1"/>
  <c r="E26" i="2"/>
  <c r="H26" i="2"/>
  <c r="E25" i="2"/>
  <c r="H25" i="2" s="1"/>
  <c r="E24" i="2"/>
  <c r="H24" i="2"/>
  <c r="E30" i="2"/>
  <c r="J25" i="1"/>
  <c r="K25" i="1"/>
  <c r="K38" i="1" s="1"/>
  <c r="D29" i="2"/>
  <c r="D28" i="2"/>
  <c r="D27" i="2"/>
  <c r="D26" i="2"/>
  <c r="D25" i="2"/>
  <c r="D24" i="2"/>
  <c r="H25" i="1"/>
  <c r="C29" i="2" s="1"/>
  <c r="I25" i="1"/>
  <c r="I39" i="1" s="1"/>
  <c r="C28" i="2"/>
  <c r="C27" i="2"/>
  <c r="C24" i="2"/>
  <c r="C26" i="2"/>
  <c r="C25" i="2"/>
  <c r="B30" i="2"/>
  <c r="C25" i="1"/>
  <c r="B29" i="2" s="1"/>
  <c r="D25" i="1"/>
  <c r="E25" i="1"/>
  <c r="E39" i="1" s="1"/>
  <c r="F25" i="1"/>
  <c r="F39" i="1" s="1"/>
  <c r="G25" i="1"/>
  <c r="B28" i="2"/>
  <c r="B27" i="2"/>
  <c r="B25" i="2"/>
  <c r="D93" i="1"/>
  <c r="D95" i="1" s="1"/>
  <c r="B12" i="1" s="1"/>
  <c r="B32" i="1" s="1"/>
  <c r="D94" i="1"/>
  <c r="D98" i="1"/>
  <c r="D100" i="1" s="1"/>
  <c r="D101" i="1" s="1"/>
  <c r="D104" i="1" s="1"/>
  <c r="B13" i="1" s="1"/>
  <c r="D99" i="1"/>
  <c r="E98" i="1"/>
  <c r="E99" i="1" s="1"/>
  <c r="E100" i="1" s="1"/>
  <c r="E101" i="1" s="1"/>
  <c r="E104" i="1" s="1"/>
  <c r="C13" i="1" s="1"/>
  <c r="E94" i="1"/>
  <c r="E103" i="1"/>
  <c r="F98" i="1"/>
  <c r="F99" i="1" s="1"/>
  <c r="F100" i="1" s="1"/>
  <c r="F101" i="1" s="1"/>
  <c r="F104" i="1" s="1"/>
  <c r="D13" i="1" s="1"/>
  <c r="F94" i="1"/>
  <c r="F103" i="1"/>
  <c r="G98" i="1"/>
  <c r="G99" i="1" s="1"/>
  <c r="G100" i="1" s="1"/>
  <c r="G101" i="1" s="1"/>
  <c r="G104" i="1" s="1"/>
  <c r="E13" i="1" s="1"/>
  <c r="G94" i="1"/>
  <c r="G103" i="1"/>
  <c r="H98" i="1"/>
  <c r="H99" i="1" s="1"/>
  <c r="H100" i="1" s="1"/>
  <c r="H101" i="1" s="1"/>
  <c r="H104" i="1" s="1"/>
  <c r="F13" i="1" s="1"/>
  <c r="H94" i="1"/>
  <c r="H103" i="1"/>
  <c r="I98" i="1"/>
  <c r="I99" i="1" s="1"/>
  <c r="I100" i="1" s="1"/>
  <c r="I101" i="1" s="1"/>
  <c r="I104" i="1" s="1"/>
  <c r="G13" i="1" s="1"/>
  <c r="I94" i="1"/>
  <c r="I103" i="1"/>
  <c r="B10" i="1"/>
  <c r="B15" i="1"/>
  <c r="B16" i="1"/>
  <c r="B17" i="1"/>
  <c r="B25" i="1"/>
  <c r="B28" i="1"/>
  <c r="B29" i="1"/>
  <c r="B30" i="1"/>
  <c r="B31" i="1"/>
  <c r="B33" i="1"/>
  <c r="B34" i="1"/>
  <c r="B36" i="1"/>
  <c r="B37" i="1"/>
  <c r="B38" i="1"/>
  <c r="B39" i="1"/>
  <c r="B40" i="1"/>
  <c r="B41" i="1"/>
  <c r="B76" i="1"/>
  <c r="N45" i="1" s="1"/>
  <c r="B79" i="1"/>
  <c r="J98" i="1"/>
  <c r="J100" i="1" s="1"/>
  <c r="J101" i="1" s="1"/>
  <c r="J104" i="1" s="1"/>
  <c r="H13" i="1" s="1"/>
  <c r="N13" i="1" s="1"/>
  <c r="J99" i="1"/>
  <c r="J103" i="1"/>
  <c r="F95" i="1"/>
  <c r="G95" i="1"/>
  <c r="E12" i="1" s="1"/>
  <c r="E32" i="1" s="1"/>
  <c r="I95" i="1"/>
  <c r="G12" i="1" s="1"/>
  <c r="G32" i="1" s="1"/>
  <c r="C41" i="1"/>
  <c r="D41" i="1"/>
  <c r="E41" i="1"/>
  <c r="F41" i="1"/>
  <c r="G41" i="1"/>
  <c r="H41" i="1"/>
  <c r="I41" i="1"/>
  <c r="J41" i="1"/>
  <c r="K41" i="1"/>
  <c r="L41" i="1"/>
  <c r="C40" i="1"/>
  <c r="D40" i="1"/>
  <c r="E40" i="1"/>
  <c r="F40" i="1"/>
  <c r="G40" i="1"/>
  <c r="H40" i="1"/>
  <c r="I40" i="1"/>
  <c r="J40" i="1"/>
  <c r="K40" i="1"/>
  <c r="L40" i="1"/>
  <c r="C38" i="1"/>
  <c r="D38" i="1"/>
  <c r="E38" i="1"/>
  <c r="F38" i="1"/>
  <c r="G38" i="1"/>
  <c r="H38" i="1"/>
  <c r="J38" i="1"/>
  <c r="M38" i="1" s="1"/>
  <c r="L38" i="1"/>
  <c r="C39" i="1"/>
  <c r="D39" i="1"/>
  <c r="G39" i="1"/>
  <c r="H39" i="1"/>
  <c r="N39" i="1" s="1"/>
  <c r="J39" i="1"/>
  <c r="K39" i="1"/>
  <c r="L39" i="1"/>
  <c r="D37" i="1"/>
  <c r="E37" i="1"/>
  <c r="F37" i="1"/>
  <c r="H37" i="1"/>
  <c r="I37" i="1"/>
  <c r="J37" i="1"/>
  <c r="M37" i="1" s="1"/>
  <c r="L37" i="1"/>
  <c r="C36" i="1"/>
  <c r="D36" i="1"/>
  <c r="E36" i="1"/>
  <c r="F36" i="1"/>
  <c r="G36" i="1"/>
  <c r="H36" i="1"/>
  <c r="N36" i="1" s="1"/>
  <c r="I36" i="1"/>
  <c r="J36" i="1"/>
  <c r="K36" i="1"/>
  <c r="L36" i="1"/>
  <c r="M36" i="1" s="1"/>
  <c r="C34" i="1"/>
  <c r="D34" i="1"/>
  <c r="E34" i="1"/>
  <c r="F34" i="1"/>
  <c r="G34" i="1"/>
  <c r="H34" i="1"/>
  <c r="I34" i="1"/>
  <c r="J34" i="1"/>
  <c r="N34" i="1" s="1"/>
  <c r="K34" i="1"/>
  <c r="L34" i="1"/>
  <c r="C33" i="1"/>
  <c r="D33" i="1"/>
  <c r="E33" i="1"/>
  <c r="F33" i="1"/>
  <c r="G33" i="1"/>
  <c r="H33" i="1"/>
  <c r="I33" i="1"/>
  <c r="J33" i="1"/>
  <c r="M33" i="1" s="1"/>
  <c r="K33" i="1"/>
  <c r="L33" i="1"/>
  <c r="D12" i="1"/>
  <c r="D32" i="1"/>
  <c r="C16" i="1"/>
  <c r="D16" i="1"/>
  <c r="E16" i="1"/>
  <c r="F16" i="1"/>
  <c r="G16" i="1"/>
  <c r="H16" i="1"/>
  <c r="N16" i="1" s="1"/>
  <c r="C15" i="1"/>
  <c r="D15" i="1"/>
  <c r="E15" i="1"/>
  <c r="F15" i="1"/>
  <c r="G15" i="1"/>
  <c r="H15" i="1"/>
  <c r="N15" i="1" s="1"/>
  <c r="C10" i="1"/>
  <c r="D10" i="1"/>
  <c r="E10" i="1"/>
  <c r="F10" i="1"/>
  <c r="G10" i="1"/>
  <c r="I81" i="1"/>
  <c r="L79" i="1"/>
  <c r="K79" i="1"/>
  <c r="J79" i="1"/>
  <c r="H79" i="1"/>
  <c r="G79" i="1"/>
  <c r="F79" i="1"/>
  <c r="E79" i="1"/>
  <c r="D79" i="1"/>
  <c r="C79" i="1"/>
  <c r="O48" i="1" s="1"/>
  <c r="L76" i="1"/>
  <c r="K76" i="1"/>
  <c r="J76" i="1"/>
  <c r="I76" i="1"/>
  <c r="H76" i="1"/>
  <c r="G76" i="1"/>
  <c r="F76" i="1"/>
  <c r="E76" i="1"/>
  <c r="D76" i="1"/>
  <c r="P45" i="1" s="1"/>
  <c r="C76" i="1"/>
  <c r="O45" i="1" s="1"/>
  <c r="L57" i="1"/>
  <c r="K57" i="1"/>
  <c r="J57" i="1"/>
  <c r="I57" i="1"/>
  <c r="H57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N48" i="1"/>
  <c r="P47" i="1"/>
  <c r="O47" i="1"/>
  <c r="N47" i="1"/>
  <c r="P46" i="1"/>
  <c r="O46" i="1"/>
  <c r="N46" i="1"/>
  <c r="P44" i="1"/>
  <c r="O44" i="1"/>
  <c r="N44" i="1"/>
  <c r="M39" i="1"/>
  <c r="N35" i="1"/>
  <c r="M35" i="1"/>
  <c r="N33" i="1"/>
  <c r="N26" i="1"/>
  <c r="M26" i="1"/>
  <c r="N25" i="1"/>
  <c r="N24" i="1"/>
  <c r="M24" i="1"/>
  <c r="N23" i="1"/>
  <c r="N22" i="1"/>
  <c r="M22" i="1"/>
  <c r="N21" i="1"/>
  <c r="M21" i="1"/>
  <c r="N20" i="1"/>
  <c r="M20" i="1"/>
  <c r="N19" i="1"/>
  <c r="N18" i="1"/>
  <c r="M18" i="1"/>
  <c r="N17" i="1"/>
  <c r="M17" i="1"/>
  <c r="R16" i="1"/>
  <c r="M16" i="1"/>
  <c r="M15" i="1"/>
  <c r="N14" i="1"/>
  <c r="M14" i="1"/>
  <c r="M13" i="1"/>
  <c r="M12" i="1"/>
  <c r="N11" i="1"/>
  <c r="M11" i="1"/>
  <c r="R10" i="1"/>
  <c r="R9" i="1"/>
  <c r="N9" i="1"/>
  <c r="M9" i="1"/>
  <c r="R8" i="1"/>
  <c r="N8" i="1"/>
  <c r="M8" i="1"/>
  <c r="R7" i="1"/>
  <c r="R6" i="1"/>
  <c r="S10" i="1"/>
  <c r="S17" i="1"/>
  <c r="Q15" i="7" l="1"/>
  <c r="Q16" i="7"/>
  <c r="O19" i="1"/>
  <c r="M34" i="1"/>
  <c r="I38" i="1"/>
  <c r="N38" i="1" s="1"/>
  <c r="H95" i="1"/>
  <c r="F12" i="1" s="1"/>
  <c r="F32" i="1" s="1"/>
  <c r="C20" i="1"/>
  <c r="P15" i="7"/>
  <c r="X14" i="1"/>
  <c r="O14" i="1" s="1"/>
  <c r="P16" i="1"/>
  <c r="O26" i="1"/>
  <c r="C30" i="2"/>
  <c r="K9" i="7"/>
  <c r="J9" i="7"/>
  <c r="M9" i="7"/>
  <c r="H9" i="7"/>
  <c r="M5" i="2"/>
  <c r="X15" i="1"/>
  <c r="O15" i="1" s="1"/>
  <c r="W13" i="1"/>
  <c r="Y13" i="1" s="1"/>
  <c r="O13" i="1"/>
  <c r="P8" i="1"/>
  <c r="O20" i="1"/>
  <c r="P6" i="1"/>
  <c r="S6" i="1" s="1"/>
  <c r="L26" i="2"/>
  <c r="K26" i="2"/>
  <c r="O25" i="1"/>
  <c r="P9" i="1"/>
  <c r="O24" i="1"/>
  <c r="O21" i="1"/>
  <c r="U11" i="1"/>
  <c r="X11" i="1" s="1"/>
  <c r="V12" i="1"/>
  <c r="W12" i="1"/>
  <c r="D13" i="8"/>
  <c r="D15" i="8"/>
  <c r="D16" i="8" s="1"/>
  <c r="M23" i="1"/>
  <c r="M25" i="1"/>
  <c r="B26" i="2"/>
  <c r="B24" i="2"/>
  <c r="N15" i="7"/>
  <c r="D43" i="7" s="1"/>
  <c r="F43" i="7" s="1"/>
  <c r="I43" i="7" s="1"/>
  <c r="L43" i="7" s="1"/>
  <c r="U13" i="1"/>
  <c r="X13" i="1" s="1"/>
  <c r="Y7" i="1"/>
  <c r="P7" i="1" s="1"/>
  <c r="O28" i="1"/>
  <c r="R28" i="1" s="1"/>
  <c r="O11" i="1"/>
  <c r="J32" i="1"/>
  <c r="M32" i="1" s="1"/>
  <c r="J12" i="7"/>
  <c r="J8" i="7"/>
  <c r="K12" i="7"/>
  <c r="K8" i="7"/>
  <c r="G42" i="7"/>
  <c r="G43" i="7"/>
  <c r="N9" i="7"/>
  <c r="N16" i="7" s="1"/>
  <c r="F11" i="7"/>
  <c r="H31" i="1"/>
  <c r="B15" i="2" s="1"/>
  <c r="J31" i="1"/>
  <c r="J30" i="1"/>
  <c r="J29" i="1"/>
  <c r="K95" i="1"/>
  <c r="I12" i="1" s="1"/>
  <c r="H29" i="1"/>
  <c r="B16" i="2" s="1"/>
  <c r="J10" i="7"/>
  <c r="K10" i="7"/>
  <c r="J4" i="2"/>
  <c r="M4" i="2" s="1"/>
  <c r="L6" i="2"/>
  <c r="M6" i="2" s="1"/>
  <c r="R17" i="1"/>
  <c r="K31" i="1"/>
  <c r="L31" i="1"/>
  <c r="K30" i="1"/>
  <c r="L30" i="1"/>
  <c r="K29" i="1"/>
  <c r="L29" i="1"/>
  <c r="P19" i="1" l="1"/>
  <c r="S7" i="1"/>
  <c r="P13" i="1"/>
  <c r="S13" i="1" s="1"/>
  <c r="R13" i="1"/>
  <c r="H15" i="7"/>
  <c r="P26" i="1"/>
  <c r="S16" i="1"/>
  <c r="M11" i="7"/>
  <c r="K11" i="7"/>
  <c r="K15" i="7" s="1"/>
  <c r="D36" i="7" s="1"/>
  <c r="F36" i="7" s="1"/>
  <c r="I36" i="7" s="1"/>
  <c r="L36" i="7" s="1"/>
  <c r="J11" i="7"/>
  <c r="J15" i="7" s="1"/>
  <c r="D35" i="7" s="1"/>
  <c r="F35" i="7" s="1"/>
  <c r="I35" i="7" s="1"/>
  <c r="L35" i="7" s="1"/>
  <c r="G11" i="7"/>
  <c r="H11" i="7"/>
  <c r="H16" i="7" s="1"/>
  <c r="P30" i="1"/>
  <c r="S30" i="1" s="1"/>
  <c r="E17" i="2"/>
  <c r="M30" i="1"/>
  <c r="C17" i="2"/>
  <c r="D17" i="2"/>
  <c r="K16" i="7"/>
  <c r="D17" i="8"/>
  <c r="E16" i="8"/>
  <c r="F15" i="8"/>
  <c r="Y12" i="1"/>
  <c r="P24" i="1"/>
  <c r="P21" i="1"/>
  <c r="P25" i="1"/>
  <c r="S28" i="1"/>
  <c r="S9" i="1"/>
  <c r="O23" i="1"/>
  <c r="R14" i="1" s="1"/>
  <c r="P14" i="1"/>
  <c r="P32" i="1"/>
  <c r="B17" i="2"/>
  <c r="N29" i="1"/>
  <c r="C16" i="2"/>
  <c r="B18" i="2"/>
  <c r="M31" i="1"/>
  <c r="O31" i="1" s="1"/>
  <c r="R31" i="1" s="1"/>
  <c r="D15" i="2"/>
  <c r="P11" i="1"/>
  <c r="S11" i="1" s="1"/>
  <c r="R11" i="1"/>
  <c r="K24" i="2"/>
  <c r="L24" i="2"/>
  <c r="P15" i="1"/>
  <c r="S15" i="1" s="1"/>
  <c r="R15" i="1"/>
  <c r="M29" i="1"/>
  <c r="O29" i="1" s="1"/>
  <c r="R29" i="1" s="1"/>
  <c r="D16" i="2"/>
  <c r="E16" i="2"/>
  <c r="P29" i="1"/>
  <c r="S29" i="1" s="1"/>
  <c r="E15" i="2"/>
  <c r="I32" i="1"/>
  <c r="N32" i="1" s="1"/>
  <c r="O32" i="1" s="1"/>
  <c r="R32" i="1" s="1"/>
  <c r="N12" i="1"/>
  <c r="N31" i="1"/>
  <c r="C15" i="2"/>
  <c r="C43" i="7"/>
  <c r="E43" i="7" s="1"/>
  <c r="H43" i="7" s="1"/>
  <c r="K43" i="7" s="1"/>
  <c r="N30" i="1"/>
  <c r="O30" i="1" s="1"/>
  <c r="R30" i="1" s="1"/>
  <c r="U12" i="1"/>
  <c r="X12" i="1" s="1"/>
  <c r="O12" i="1" s="1"/>
  <c r="P20" i="1"/>
  <c r="S8" i="1"/>
  <c r="R38" i="1" l="1"/>
  <c r="M4" i="1"/>
  <c r="M3" i="1"/>
  <c r="R37" i="1"/>
  <c r="J16" i="7"/>
  <c r="S32" i="1"/>
  <c r="C35" i="7"/>
  <c r="E35" i="7" s="1"/>
  <c r="H35" i="7" s="1"/>
  <c r="K35" i="7" s="1"/>
  <c r="P31" i="1"/>
  <c r="S31" i="1" s="1"/>
  <c r="S14" i="1"/>
  <c r="P23" i="1"/>
  <c r="C36" i="7"/>
  <c r="E36" i="7" s="1"/>
  <c r="H36" i="7" s="1"/>
  <c r="K36" i="7" s="1"/>
  <c r="C49" i="7"/>
  <c r="E49" i="7" s="1"/>
  <c r="H49" i="7" s="1"/>
  <c r="K49" i="7" s="1"/>
  <c r="M15" i="7"/>
  <c r="D42" i="7" s="1"/>
  <c r="F42" i="7" s="1"/>
  <c r="I42" i="7" s="1"/>
  <c r="L42" i="7" s="1"/>
  <c r="C42" i="7"/>
  <c r="E42" i="7" s="1"/>
  <c r="H42" i="7" s="1"/>
  <c r="K42" i="7" s="1"/>
  <c r="M16" i="7"/>
  <c r="P12" i="1"/>
  <c r="R12" i="1"/>
  <c r="E17" i="8"/>
  <c r="B18" i="8" s="1"/>
  <c r="B19" i="8" s="1"/>
  <c r="G15" i="7"/>
  <c r="G16" i="7"/>
  <c r="S33" i="1" l="1"/>
  <c r="S12" i="1"/>
  <c r="N4" i="1" l="1"/>
  <c r="N3" i="1"/>
  <c r="S37" i="1"/>
  <c r="S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H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next year estimate</t>
        </r>
      </text>
    </comment>
    <comment ref="I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2nd year projection</t>
        </r>
      </text>
    </comment>
    <comment ref="E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Share Price * Fully Diluted Shares Outstanding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Ng, Kim</author>
  </authors>
  <commentList>
    <comment ref="A1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Ng, Kim:</t>
        </r>
        <r>
          <rPr>
            <sz val="9"/>
            <color indexed="81"/>
            <rFont val="Tahoma"/>
            <family val="2"/>
          </rPr>
          <t xml:space="preserve">
Use Method 1
</t>
        </r>
      </text>
    </comment>
    <comment ref="A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Ng, Kim:</t>
        </r>
        <r>
          <rPr>
            <sz val="9"/>
            <color indexed="81"/>
            <rFont val="Tahoma"/>
            <family val="2"/>
          </rPr>
          <t xml:space="preserve">
millions, adj for split</t>
        </r>
      </text>
    </comment>
    <comment ref="A2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Ng, Kim:</t>
        </r>
        <r>
          <rPr>
            <sz val="9"/>
            <color indexed="81"/>
            <rFont val="Tahoma"/>
            <family val="2"/>
          </rPr>
          <t xml:space="preserve">
% retained as RE</t>
        </r>
      </text>
    </comment>
    <comment ref="A2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Ng, Kim:</t>
        </r>
        <r>
          <rPr>
            <sz val="9"/>
            <color indexed="81"/>
            <rFont val="Tahoma"/>
            <family val="2"/>
          </rPr>
          <t xml:space="preserve">
Retrun on Total Capital</t>
        </r>
      </text>
    </comment>
    <comment ref="P3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Ng, Kim:</t>
        </r>
        <r>
          <rPr>
            <sz val="9"/>
            <color indexed="81"/>
            <rFont val="Tahoma"/>
            <family val="2"/>
          </rPr>
          <t xml:space="preserve">
use 2015 WACC. Recall the value is the Enterprise Value</t>
        </r>
      </text>
    </comment>
    <comment ref="A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Ng, Kim:
</t>
        </r>
        <r>
          <rPr>
            <sz val="9"/>
            <color indexed="81"/>
            <rFont val="Tahoma"/>
            <family val="2"/>
          </rPr>
          <t>numers are actual cash flows</t>
        </r>
      </text>
    </comment>
    <comment ref="J10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 xml:space="preserve">Ng, Kim:
</t>
        </r>
        <r>
          <rPr>
            <sz val="9"/>
            <color indexed="81"/>
            <rFont val="Tahoma"/>
            <family val="2"/>
          </rPr>
          <t>numers are actual cash flows</t>
        </r>
      </text>
    </comment>
  </commentList>
</comments>
</file>

<file path=xl/sharedStrings.xml><?xml version="1.0" encoding="utf-8"?>
<sst xmlns="http://schemas.openxmlformats.org/spreadsheetml/2006/main" count="1668" uniqueCount="1182">
  <si>
    <t>Mkt Price</t>
  </si>
  <si>
    <t>2016E</t>
  </si>
  <si>
    <t>2017E</t>
  </si>
  <si>
    <t>Instructions</t>
  </si>
  <si>
    <t>Hi</t>
  </si>
  <si>
    <t>Lo</t>
  </si>
  <si>
    <t>YoY%</t>
  </si>
  <si>
    <t>The Reference Section gives your 5 years of historical data</t>
  </si>
  <si>
    <t>Per Share</t>
  </si>
  <si>
    <t>Average:</t>
  </si>
  <si>
    <t>3yrs</t>
  </si>
  <si>
    <t>5yrs</t>
  </si>
  <si>
    <t>15 - 16</t>
  </si>
  <si>
    <t>16 - 17</t>
  </si>
  <si>
    <t>1) Compute Value Line "Cash Flow"</t>
  </si>
  <si>
    <t>Revenue</t>
  </si>
  <si>
    <t>2) Compute the historical FCFF for 5 years using Method 1 and Method2</t>
  </si>
  <si>
    <t>Oper Profit</t>
  </si>
  <si>
    <t>3) For Method 2 compute the FCFE (Note that column B is partially hidden)</t>
  </si>
  <si>
    <t>EBIT</t>
  </si>
  <si>
    <t>4) On the "Per Share" Section on the top page, compute all the per share data</t>
  </si>
  <si>
    <t>Earnings</t>
  </si>
  <si>
    <t xml:space="preserve">    starting with Revenue per share</t>
  </si>
  <si>
    <t>CAPEX</t>
  </si>
  <si>
    <t>5) Compute the 3-yr and 5-yr averages</t>
  </si>
  <si>
    <t>"Cash Flow"</t>
  </si>
  <si>
    <t xml:space="preserve">    Common Shares outstanding, tax rate, mid prices and WACC are given to you</t>
  </si>
  <si>
    <t>FCF Firm</t>
  </si>
  <si>
    <t>6) Compute the ROC, ROE, Retention ratio, Debt/Equity</t>
  </si>
  <si>
    <t>FCF Equity</t>
  </si>
  <si>
    <t>7) Compute the price multiples, Earning Yield and Dividend Yield</t>
  </si>
  <si>
    <t>Dividend</t>
  </si>
  <si>
    <t>8) Compute Dividend growth rate (YoY)</t>
  </si>
  <si>
    <t>Cash</t>
  </si>
  <si>
    <t>9) Compute the internal growth rate assuming ROA = ROC.</t>
  </si>
  <si>
    <t>LT Debt</t>
  </si>
  <si>
    <t>10) Compute the sustainable growth rate</t>
  </si>
  <si>
    <t>Book</t>
  </si>
  <si>
    <t>11) Compute the EBIT Interest coverage</t>
  </si>
  <si>
    <t>Common shrs</t>
  </si>
  <si>
    <t>12) Compute the Sales Turnover ratio</t>
  </si>
  <si>
    <t>OperMargin</t>
  </si>
  <si>
    <t xml:space="preserve">      Leverage and Inventory Turnover are given</t>
  </si>
  <si>
    <t>EBIT Margin</t>
  </si>
  <si>
    <t>13) Compute the common size Balance Sheet at the right corner box for 2013 to 2015</t>
  </si>
  <si>
    <t>Net Margin</t>
  </si>
  <si>
    <t>Tax Rate</t>
  </si>
  <si>
    <t>Valuation estimates</t>
  </si>
  <si>
    <t>Retention%</t>
  </si>
  <si>
    <t>1) The YoY Reveneue growth is given to you in the Assumptions box</t>
  </si>
  <si>
    <t>ROC</t>
  </si>
  <si>
    <t>2) You cannot add extra boxes except those givento you</t>
  </si>
  <si>
    <t>ROEquity</t>
  </si>
  <si>
    <t>3) Compute the yellow boxes in columns J and K using formulas to forecast variables in 2016 and 2017</t>
  </si>
  <si>
    <t>Debt/Equity</t>
  </si>
  <si>
    <t>4) You have to put in your estimates for those  yellow boxes marked with "e"</t>
  </si>
  <si>
    <t>Mid Price</t>
  </si>
  <si>
    <t>5) You have to derive the values for ROC and ROE (green boxes) in columns J and K</t>
  </si>
  <si>
    <t>P/E</t>
  </si>
  <si>
    <t>6) The price multiple boxes estimates are given to you</t>
  </si>
  <si>
    <t>P/BV</t>
  </si>
  <si>
    <t>7) Compute valuation using FCFF Discount Model. The LT growth assumptions are given and cannot be changed</t>
  </si>
  <si>
    <t>P/Sales</t>
  </si>
  <si>
    <t xml:space="preserve">    (recall that this gives you the Enterprise Value of the firm)</t>
  </si>
  <si>
    <t>P/CF</t>
  </si>
  <si>
    <t>8) Use Dividend growth model. Assumption cannot be changed</t>
  </si>
  <si>
    <t>P/FCFF</t>
  </si>
  <si>
    <t>9) Use FCFE Discount Model.</t>
  </si>
  <si>
    <t>Earn Yield</t>
  </si>
  <si>
    <t>(Be careful which discount rate you use)</t>
  </si>
  <si>
    <t>Dividend Yield</t>
  </si>
  <si>
    <t>WACC %</t>
  </si>
  <si>
    <t>FCFE Model</t>
  </si>
  <si>
    <t>10) Under the Summary Section, select the appropriate description for each category. Use your judgement</t>
  </si>
  <si>
    <t>Dividend g</t>
  </si>
  <si>
    <t xml:space="preserve">       to evaluate the performance of the firm.</t>
  </si>
  <si>
    <t>Internal g</t>
  </si>
  <si>
    <t>Median</t>
  </si>
  <si>
    <t>11) You will be judged by your Low, High, Average and Median estimates for 2016E and 2017E</t>
  </si>
  <si>
    <t>Sustain g</t>
  </si>
  <si>
    <t>Average</t>
  </si>
  <si>
    <t xml:space="preserve">       I will reveal the company name at the date of case submission and tell you the 2016 YTD average and median</t>
  </si>
  <si>
    <t>Leverage</t>
  </si>
  <si>
    <t xml:space="preserve">      prices for the stock</t>
  </si>
  <si>
    <t>EBIT Cover</t>
  </si>
  <si>
    <t>Common Size B/S</t>
  </si>
  <si>
    <t>Sales Turn</t>
  </si>
  <si>
    <t>InventoryTurn</t>
  </si>
  <si>
    <t>Cost Equity</t>
  </si>
  <si>
    <t>Recv</t>
  </si>
  <si>
    <t>Inventory</t>
  </si>
  <si>
    <t>Profit</t>
  </si>
  <si>
    <t>Growing</t>
  </si>
  <si>
    <t>CurAsset</t>
  </si>
  <si>
    <t>Decline</t>
  </si>
  <si>
    <t>Low Margin</t>
  </si>
  <si>
    <t>Steady</t>
  </si>
  <si>
    <t>Strong</t>
  </si>
  <si>
    <t>Super</t>
  </si>
  <si>
    <t>"_"</t>
  </si>
  <si>
    <t>Efficiency</t>
  </si>
  <si>
    <t>Medium</t>
  </si>
  <si>
    <t>Payable</t>
  </si>
  <si>
    <t>Low</t>
  </si>
  <si>
    <t>Stable</t>
  </si>
  <si>
    <t>High</t>
  </si>
  <si>
    <t>Earning</t>
  </si>
  <si>
    <t>Debt</t>
  </si>
  <si>
    <t>Flat</t>
  </si>
  <si>
    <t>Value</t>
  </si>
  <si>
    <t>Cheap</t>
  </si>
  <si>
    <t>CurLiab</t>
  </si>
  <si>
    <t>Fair</t>
  </si>
  <si>
    <t>Expensive</t>
  </si>
  <si>
    <t>PP&amp;E</t>
  </si>
  <si>
    <t>Declining</t>
  </si>
  <si>
    <t>Strong Growth</t>
  </si>
  <si>
    <t>Intangible</t>
  </si>
  <si>
    <t>Rating</t>
  </si>
  <si>
    <t>Financial Risk</t>
  </si>
  <si>
    <t>Safe</t>
  </si>
  <si>
    <t>Very High</t>
  </si>
  <si>
    <t>Reference</t>
  </si>
  <si>
    <t>$ Mil</t>
  </si>
  <si>
    <t>Depreciation</t>
  </si>
  <si>
    <t>Interest</t>
  </si>
  <si>
    <t>Net Income</t>
  </si>
  <si>
    <t>LT Debt (mil)</t>
  </si>
  <si>
    <t>Equity (mil)</t>
  </si>
  <si>
    <t>Total Assets</t>
  </si>
  <si>
    <t>Intangile</t>
  </si>
  <si>
    <t>Invest WC</t>
  </si>
  <si>
    <t>LT debt</t>
  </si>
  <si>
    <t>TotAsset</t>
  </si>
  <si>
    <t>Method 1</t>
  </si>
  <si>
    <t>FCFF</t>
  </si>
  <si>
    <t>Method 2</t>
  </si>
  <si>
    <t>Tax</t>
  </si>
  <si>
    <t>NOPAT</t>
  </si>
  <si>
    <t>Net Borrowing</t>
  </si>
  <si>
    <t>FCFE</t>
  </si>
  <si>
    <t>LMT</t>
  </si>
  <si>
    <t>Source: Bloomberg Terminal</t>
  </si>
  <si>
    <t>N/A</t>
  </si>
  <si>
    <t>3-yr</t>
  </si>
  <si>
    <t>5-yr</t>
  </si>
  <si>
    <t>10-yr</t>
  </si>
  <si>
    <t>$-Test</t>
  </si>
  <si>
    <t>Football Analysis</t>
  </si>
  <si>
    <t>Historical Average Multiples</t>
  </si>
  <si>
    <t>10yr</t>
  </si>
  <si>
    <t>5yr</t>
  </si>
  <si>
    <t>3yr</t>
  </si>
  <si>
    <t>1yr</t>
  </si>
  <si>
    <t>low</t>
  </si>
  <si>
    <t>high</t>
  </si>
  <si>
    <t>AVG DIV</t>
  </si>
  <si>
    <t>AVG BV</t>
  </si>
  <si>
    <t>AVG SALES</t>
  </si>
  <si>
    <t>AVG EPS</t>
  </si>
  <si>
    <t>AVG ROE</t>
  </si>
  <si>
    <t>Retention</t>
  </si>
  <si>
    <t>10 yr</t>
  </si>
  <si>
    <t>3 yr</t>
  </si>
  <si>
    <t>low g</t>
  </si>
  <si>
    <t>highg</t>
  </si>
  <si>
    <t>Median est</t>
  </si>
  <si>
    <t>AvG CF</t>
  </si>
  <si>
    <t>Income (Annual)</t>
  </si>
  <si>
    <t>2015-12</t>
  </si>
  <si>
    <t>2014-12</t>
  </si>
  <si>
    <t>2013-12</t>
  </si>
  <si>
    <t>2012-12</t>
  </si>
  <si>
    <t>2011-12</t>
  </si>
  <si>
    <t>2010-12</t>
  </si>
  <si>
    <t>2009-12</t>
  </si>
  <si>
    <t>2008-12</t>
  </si>
  <si>
    <t>2007-12</t>
  </si>
  <si>
    <t>2006-12</t>
  </si>
  <si>
    <t>Operating Revenue</t>
  </si>
  <si>
    <t>46.13B</t>
  </si>
  <si>
    <t>45.60B</t>
  </si>
  <si>
    <t>45.36B</t>
  </si>
  <si>
    <t>47.18B</t>
  </si>
  <si>
    <t>46.50B</t>
  </si>
  <si>
    <t>45.67B</t>
  </si>
  <si>
    <t>43.87B</t>
  </si>
  <si>
    <t>41.37B</t>
  </si>
  <si>
    <t>41.86B</t>
  </si>
  <si>
    <t>39.62B</t>
  </si>
  <si>
    <t>Cost of Goods Sold</t>
  </si>
  <si>
    <t>40.93B</t>
  </si>
  <si>
    <t>40.34B</t>
  </si>
  <si>
    <t>41.17B</t>
  </si>
  <si>
    <t>42.99B</t>
  </si>
  <si>
    <t>42.76B</t>
  </si>
  <si>
    <t>41.83B</t>
  </si>
  <si>
    <t>39.72B</t>
  </si>
  <si>
    <t>36.80B</t>
  </si>
  <si>
    <t>37.63B</t>
  </si>
  <si>
    <t>36.19B</t>
  </si>
  <si>
    <t>Gross Profit</t>
  </si>
  <si>
    <t>5.20B</t>
  </si>
  <si>
    <t>5.255B</t>
  </si>
  <si>
    <t>4.187B</t>
  </si>
  <si>
    <t>4.196B</t>
  </si>
  <si>
    <t>3.744B</t>
  </si>
  <si>
    <t>3.844B</t>
  </si>
  <si>
    <t>4.147B</t>
  </si>
  <si>
    <t>4.574B</t>
  </si>
  <si>
    <t>4.234B</t>
  </si>
  <si>
    <t>3.434B</t>
  </si>
  <si>
    <t>Special Income and Charges</t>
  </si>
  <si>
    <t>236.00M</t>
  </si>
  <si>
    <t>337.00M</t>
  </si>
  <si>
    <t>318.00M</t>
  </si>
  <si>
    <t>276.00M</t>
  </si>
  <si>
    <t>220.00M</t>
  </si>
  <si>
    <t>475.00M</t>
  </si>
  <si>
    <t>293.00M</t>
  </si>
  <si>
    <t>336.00M</t>
  </si>
  <si>
    <t>Total Operating Expenses</t>
  </si>
  <si>
    <t>-236.00M</t>
  </si>
  <si>
    <t>-337.00M</t>
  </si>
  <si>
    <t>-318.00M</t>
  </si>
  <si>
    <t>-238.00M</t>
  </si>
  <si>
    <t>-276.00M</t>
  </si>
  <si>
    <t>-220.00M</t>
  </si>
  <si>
    <t>-475.00M</t>
  </si>
  <si>
    <t>-293.00M</t>
  </si>
  <si>
    <t>-336.00M</t>
  </si>
  <si>
    <t>Operating Income</t>
  </si>
  <si>
    <t>5.436B</t>
  </si>
  <si>
    <t>5.592B</t>
  </si>
  <si>
    <t>4.505B</t>
  </si>
  <si>
    <t>4.434B</t>
  </si>
  <si>
    <t>4.02B</t>
  </si>
  <si>
    <t>4.367B</t>
  </si>
  <si>
    <t>5.049B</t>
  </si>
  <si>
    <t>4.527B</t>
  </si>
  <si>
    <t>3.77B</t>
  </si>
  <si>
    <t>Non-Operating Interest Expense</t>
  </si>
  <si>
    <t>443.00M</t>
  </si>
  <si>
    <t>340.00M</t>
  </si>
  <si>
    <t>350.00M</t>
  </si>
  <si>
    <t>383.00M</t>
  </si>
  <si>
    <t>354.00M</t>
  </si>
  <si>
    <t>345.00M</t>
  </si>
  <si>
    <t>308.00M</t>
  </si>
  <si>
    <t>332.00M</t>
  </si>
  <si>
    <t>352.00M</t>
  </si>
  <si>
    <t>361.00M</t>
  </si>
  <si>
    <t>Net Non-Operating Interest Income Expense</t>
  </si>
  <si>
    <t>-443.00M</t>
  </si>
  <si>
    <t>-340.00M</t>
  </si>
  <si>
    <t>-350.00M</t>
  </si>
  <si>
    <t>-383.00M</t>
  </si>
  <si>
    <t>-354.00M</t>
  </si>
  <si>
    <t>-345.00M</t>
  </si>
  <si>
    <t>-308.00M</t>
  </si>
  <si>
    <t>-332.00M</t>
  </si>
  <si>
    <t>-352.00M</t>
  </si>
  <si>
    <t>-361.00M</t>
  </si>
  <si>
    <t>Non-Operating Income</t>
  </si>
  <si>
    <t>30.00M</t>
  </si>
  <si>
    <t>6.000M</t>
  </si>
  <si>
    <t>21.00M</t>
  </si>
  <si>
    <t>-35.00M</t>
  </si>
  <si>
    <t>279.00M</t>
  </si>
  <si>
    <t>123.00M</t>
  </si>
  <si>
    <t>-91.00M</t>
  </si>
  <si>
    <t>193.00M</t>
  </si>
  <si>
    <t>183.00M</t>
  </si>
  <si>
    <t>Other Income and Expenses</t>
  </si>
  <si>
    <t>Net Interest Income</t>
  </si>
  <si>
    <t>Pre-Tax Income</t>
  </si>
  <si>
    <t>5.023B</t>
  </si>
  <si>
    <t>5.258B</t>
  </si>
  <si>
    <t>4.155B</t>
  </si>
  <si>
    <t>4.072B</t>
  </si>
  <si>
    <t>3.631B</t>
  </si>
  <si>
    <t>3.778B</t>
  </si>
  <si>
    <t>4.182B</t>
  </si>
  <si>
    <t>4.626B</t>
  </si>
  <si>
    <t>4.368B</t>
  </si>
  <si>
    <t>3.592B</t>
  </si>
  <si>
    <t>Provision for Income Taxes</t>
  </si>
  <si>
    <t>1.418B</t>
  </si>
  <si>
    <t>1.644B</t>
  </si>
  <si>
    <t>1.205B</t>
  </si>
  <si>
    <t>1.327B</t>
  </si>
  <si>
    <t>964.00M</t>
  </si>
  <si>
    <t>1.164B</t>
  </si>
  <si>
    <t>1.215B</t>
  </si>
  <si>
    <t>1.459B</t>
  </si>
  <si>
    <t>1.335B</t>
  </si>
  <si>
    <t>1.063B</t>
  </si>
  <si>
    <t>Income from Continuing Operations</t>
  </si>
  <si>
    <t>3.605B</t>
  </si>
  <si>
    <t>3.614B</t>
  </si>
  <si>
    <t>2.95B</t>
  </si>
  <si>
    <t>2.745B</t>
  </si>
  <si>
    <t>2.667B</t>
  </si>
  <si>
    <t>2.614B</t>
  </si>
  <si>
    <t>2.967B</t>
  </si>
  <si>
    <t>3.167B</t>
  </si>
  <si>
    <t>3.033B</t>
  </si>
  <si>
    <t>2.529B</t>
  </si>
  <si>
    <t>Income from Discontinued Operations</t>
  </si>
  <si>
    <t>31.00M</t>
  </si>
  <si>
    <t>-12.00M</t>
  </si>
  <si>
    <t>264.00M</t>
  </si>
  <si>
    <t>50.00M</t>
  </si>
  <si>
    <t>Extraordinary Items, Income Statement</t>
  </si>
  <si>
    <t>Accounting Change</t>
  </si>
  <si>
    <t>Preferred Stock Dividend</t>
  </si>
  <si>
    <t>2.981B</t>
  </si>
  <si>
    <t>2.655B</t>
  </si>
  <si>
    <t>2.878B</t>
  </si>
  <si>
    <t>2.973B</t>
  </si>
  <si>
    <t>3.217B</t>
  </si>
  <si>
    <t>Normalized Income</t>
  </si>
  <si>
    <t>3.436B</t>
  </si>
  <si>
    <t>3.382B</t>
  </si>
  <si>
    <t>2.724B</t>
  </si>
  <si>
    <t>2.464B</t>
  </si>
  <si>
    <t>2.812B</t>
  </si>
  <si>
    <t>2.842B</t>
  </si>
  <si>
    <t>2.830B</t>
  </si>
  <si>
    <t>2.292B</t>
  </si>
  <si>
    <t>EBITDA</t>
  </si>
  <si>
    <t>6.492B</t>
  </si>
  <si>
    <t>6.592B</t>
  </si>
  <si>
    <t>5.495B</t>
  </si>
  <si>
    <t>5.443B</t>
  </si>
  <si>
    <t>4.993B</t>
  </si>
  <si>
    <t>5.175B</t>
  </si>
  <si>
    <t>5.504B</t>
  </si>
  <si>
    <t>5.803B</t>
  </si>
  <si>
    <t>5.539B</t>
  </si>
  <si>
    <t>4.717B</t>
  </si>
  <si>
    <t>Reconciled Depreciation</t>
  </si>
  <si>
    <t>1.026B</t>
  </si>
  <si>
    <t>994.00M</t>
  </si>
  <si>
    <t>990.00M</t>
  </si>
  <si>
    <t>988.00M</t>
  </si>
  <si>
    <t>1.008B</t>
  </si>
  <si>
    <t>1.052B</t>
  </si>
  <si>
    <t>1.014B</t>
  </si>
  <si>
    <t>845.00M</t>
  </si>
  <si>
    <t>819.00M</t>
  </si>
  <si>
    <t>764.00M</t>
  </si>
  <si>
    <t>5.466B</t>
  </si>
  <si>
    <t>5.598B</t>
  </si>
  <si>
    <t>4.455B</t>
  </si>
  <si>
    <t>3.985B</t>
  </si>
  <si>
    <t>4.123B</t>
  </si>
  <si>
    <t>4.49B</t>
  </si>
  <si>
    <t>4.958B</t>
  </si>
  <si>
    <t>4.72B</t>
  </si>
  <si>
    <t>3.953B</t>
  </si>
  <si>
    <t>Basic EPS (Annual)</t>
  </si>
  <si>
    <t>EPS Basic from Continuing Operations</t>
  </si>
  <si>
    <t>EPS Basic from Discontinued Operations</t>
  </si>
  <si>
    <t>EPS Basic from Extraordinaries</t>
  </si>
  <si>
    <t>EPS Basic from Accounting Change</t>
  </si>
  <si>
    <t>Normalized Basic EPS</t>
  </si>
  <si>
    <t>EPS Basic</t>
  </si>
  <si>
    <t>Diluted EPS (Annual)</t>
  </si>
  <si>
    <t>EPS Diluted from Continuing Operations</t>
  </si>
  <si>
    <t>EPS Diluted from Discontinued Operations</t>
  </si>
  <si>
    <t>EPS Diluted from Extraordinaries</t>
  </si>
  <si>
    <t>EPS Diluted from Accounting Change</t>
  </si>
  <si>
    <t>Normalized Diluted EPS</t>
  </si>
  <si>
    <t>EPS Diluted</t>
  </si>
  <si>
    <t>Shares Data (Annual)</t>
  </si>
  <si>
    <t>Average Basic Shares Outstanding</t>
  </si>
  <si>
    <t>310.30M</t>
  </si>
  <si>
    <t>316.80M</t>
  </si>
  <si>
    <t>320.90M</t>
  </si>
  <si>
    <t>323.70M</t>
  </si>
  <si>
    <t>335.90M</t>
  </si>
  <si>
    <t>364.20M</t>
  </si>
  <si>
    <t>384.80M</t>
  </si>
  <si>
    <t>399.70M</t>
  </si>
  <si>
    <t>416.00M</t>
  </si>
  <si>
    <t>428.10M</t>
  </si>
  <si>
    <t>Average Diluted Shares Outstanding</t>
  </si>
  <si>
    <t>314.70M</t>
  </si>
  <si>
    <t>322.40M</t>
  </si>
  <si>
    <t>326.50M</t>
  </si>
  <si>
    <t>328.40M</t>
  </si>
  <si>
    <t>339.90M</t>
  </si>
  <si>
    <t>368.30M</t>
  </si>
  <si>
    <t>388.90M</t>
  </si>
  <si>
    <t>409.40M</t>
  </si>
  <si>
    <t>427.10M</t>
  </si>
  <si>
    <t>436.40M</t>
  </si>
  <si>
    <t>Dividend Per Share</t>
  </si>
  <si>
    <t>Lockheed Martin (LMT) Income Statement</t>
  </si>
  <si>
    <t>Assets (Annual)</t>
  </si>
  <si>
    <t>Cash and Equivalents</t>
  </si>
  <si>
    <t>1.09B</t>
  </si>
  <si>
    <t>1.446B</t>
  </si>
  <si>
    <t>2.617B</t>
  </si>
  <si>
    <t>1.898B</t>
  </si>
  <si>
    <t>3.582B</t>
  </si>
  <si>
    <t>2.261B</t>
  </si>
  <si>
    <t>2.391B</t>
  </si>
  <si>
    <t>2.168B</t>
  </si>
  <si>
    <t>2.648B</t>
  </si>
  <si>
    <t>1.912B</t>
  </si>
  <si>
    <t>Short Term Investments</t>
  </si>
  <si>
    <t>516.00M</t>
  </si>
  <si>
    <t>346.00M</t>
  </si>
  <si>
    <t>333.00M</t>
  </si>
  <si>
    <t>381.00M</t>
  </si>
  <si>
    <t>Cash and Short Term Investments</t>
  </si>
  <si>
    <t>2.777B</t>
  </si>
  <si>
    <t>2.737B</t>
  </si>
  <si>
    <t>2.293B</t>
  </si>
  <si>
    <t>Accounts Receivable</t>
  </si>
  <si>
    <t>2.264B</t>
  </si>
  <si>
    <t>1.894B</t>
  </si>
  <si>
    <t>5.834B</t>
  </si>
  <si>
    <t>6.563B</t>
  </si>
  <si>
    <t>6.064B</t>
  </si>
  <si>
    <t>5.692B</t>
  </si>
  <si>
    <t>6.061B</t>
  </si>
  <si>
    <t>5.296B</t>
  </si>
  <si>
    <t>4.925B</t>
  </si>
  <si>
    <t>4.595B</t>
  </si>
  <si>
    <t>Other Receivables</t>
  </si>
  <si>
    <t>7.729B</t>
  </si>
  <si>
    <t>5.248B</t>
  </si>
  <si>
    <t>Total Receivables</t>
  </si>
  <si>
    <t>8.061B</t>
  </si>
  <si>
    <t>5.877B</t>
  </si>
  <si>
    <t>Work in Process Inventory</t>
  </si>
  <si>
    <t>8.199B</t>
  </si>
  <si>
    <t>6.731B</t>
  </si>
  <si>
    <t>7.073B</t>
  </si>
  <si>
    <t>7.000B</t>
  </si>
  <si>
    <t>7.129B</t>
  </si>
  <si>
    <t>6.508B</t>
  </si>
  <si>
    <t>5.565B</t>
  </si>
  <si>
    <t>4.631B</t>
  </si>
  <si>
    <t>4.039B</t>
  </si>
  <si>
    <t>3.857B</t>
  </si>
  <si>
    <t>Other Inventory</t>
  </si>
  <si>
    <t>1.798B</t>
  </si>
  <si>
    <t>774.00M</t>
  </si>
  <si>
    <t>738.00M</t>
  </si>
  <si>
    <t>869.00M</t>
  </si>
  <si>
    <t>777.00M</t>
  </si>
  <si>
    <t>643.00M</t>
  </si>
  <si>
    <t>559.00M</t>
  </si>
  <si>
    <t>667.00M</t>
  </si>
  <si>
    <t>518.00M</t>
  </si>
  <si>
    <t>504.00M</t>
  </si>
  <si>
    <t>Inventories</t>
  </si>
  <si>
    <t>4.962B</t>
  </si>
  <si>
    <t>2.804B</t>
  </si>
  <si>
    <t>2.977B</t>
  </si>
  <si>
    <t>2.937B</t>
  </si>
  <si>
    <t>2.481B</t>
  </si>
  <si>
    <t>2.363B</t>
  </si>
  <si>
    <t>2.183B</t>
  </si>
  <si>
    <t>1.902B</t>
  </si>
  <si>
    <t>1.718B</t>
  </si>
  <si>
    <t>1.657B</t>
  </si>
  <si>
    <t>Current Deferred Tax Assets</t>
  </si>
  <si>
    <t>1.463B</t>
  </si>
  <si>
    <t>1.451B</t>
  </si>
  <si>
    <t>1.088B</t>
  </si>
  <si>
    <t>1.269B</t>
  </si>
  <si>
    <t>1.339B</t>
  </si>
  <si>
    <t>1.147B</t>
  </si>
  <si>
    <t>815.00M</t>
  </si>
  <si>
    <t>755.00M</t>
  </si>
  <si>
    <t>756.00M</t>
  </si>
  <si>
    <t>900.00M</t>
  </si>
  <si>
    <t>Other Current Assets</t>
  </si>
  <si>
    <t>622.00M</t>
  </si>
  <si>
    <t>744.00M</t>
  </si>
  <si>
    <t>813.00M</t>
  </si>
  <si>
    <t>1.188B</t>
  </si>
  <si>
    <t>628.00M</t>
  </si>
  <si>
    <t>914.00M</t>
  </si>
  <si>
    <t>681.00M</t>
  </si>
  <si>
    <t>562.00M</t>
  </si>
  <si>
    <t>560.00M</t>
  </si>
  <si>
    <t>719.00M</t>
  </si>
  <si>
    <t>Total Current Assets</t>
  </si>
  <si>
    <t>16.20B</t>
  </si>
  <si>
    <t>12.32B</t>
  </si>
  <si>
    <t>13.33B</t>
  </si>
  <si>
    <t>13.86B</t>
  </si>
  <si>
    <t>14.09B</t>
  </si>
  <si>
    <t>12.89B</t>
  </si>
  <si>
    <t>12.48B</t>
  </si>
  <si>
    <t>10.68B</t>
  </si>
  <si>
    <t>10.94B</t>
  </si>
  <si>
    <t>10.16B</t>
  </si>
  <si>
    <t>Land and Improvements</t>
  </si>
  <si>
    <t>99.00M</t>
  </si>
  <si>
    <t>101.00M</t>
  </si>
  <si>
    <t>98.00M</t>
  </si>
  <si>
    <t>111.00M</t>
  </si>
  <si>
    <t>112.00M</t>
  </si>
  <si>
    <t>109.00M</t>
  </si>
  <si>
    <t>121.00M</t>
  </si>
  <si>
    <t>Buildings and Improvements</t>
  </si>
  <si>
    <t>6.128B</t>
  </si>
  <si>
    <t>5.723B</t>
  </si>
  <si>
    <t>5.602B</t>
  </si>
  <si>
    <t>5.388B</t>
  </si>
  <si>
    <t>5.159B</t>
  </si>
  <si>
    <t>5.005B</t>
  </si>
  <si>
    <t>5.01B</t>
  </si>
  <si>
    <t>4.756B</t>
  </si>
  <si>
    <t>4.258B</t>
  </si>
  <si>
    <t>Machine, Furniture &amp; Equipment</t>
  </si>
  <si>
    <t>7.409B</t>
  </si>
  <si>
    <t>7.031B</t>
  </si>
  <si>
    <t>7.043B</t>
  </si>
  <si>
    <t>6.728B</t>
  </si>
  <si>
    <t>6.408B</t>
  </si>
  <si>
    <t>6.172B</t>
  </si>
  <si>
    <t>6.283B</t>
  </si>
  <si>
    <t>6.034B</t>
  </si>
  <si>
    <t>5.619B</t>
  </si>
  <si>
    <t>5.25B</t>
  </si>
  <si>
    <t>Construction in Progress</t>
  </si>
  <si>
    <t>887.00M</t>
  </si>
  <si>
    <t>636.00M</t>
  </si>
  <si>
    <t>768.00M</t>
  </si>
  <si>
    <t>805.00M</t>
  </si>
  <si>
    <t>670.00M</t>
  </si>
  <si>
    <t>Gross PP&amp;E</t>
  </si>
  <si>
    <t>14.55B</t>
  </si>
  <si>
    <t>13.49B</t>
  </si>
  <si>
    <t>13.37B</t>
  </si>
  <si>
    <t>12.98B</t>
  </si>
  <si>
    <t>12.47B</t>
  </si>
  <si>
    <t>11.96B</t>
  </si>
  <si>
    <t>11.40B</t>
  </si>
  <si>
    <t>10.90B</t>
  </si>
  <si>
    <t>10.30B</t>
  </si>
  <si>
    <t>9.629B</t>
  </si>
  <si>
    <t>Accumulated D&amp;A</t>
  </si>
  <si>
    <t>-9.057B</t>
  </si>
  <si>
    <t>-8.738B</t>
  </si>
  <si>
    <t>-8.66B</t>
  </si>
  <si>
    <t>-8.31B</t>
  </si>
  <si>
    <t>-7.859B</t>
  </si>
  <si>
    <t>-7.404B</t>
  </si>
  <si>
    <t>-6.885B</t>
  </si>
  <si>
    <t>-6.411B</t>
  </si>
  <si>
    <t>-5.985B</t>
  </si>
  <si>
    <t>-5.573B</t>
  </si>
  <si>
    <t>Net PP&amp;E</t>
  </si>
  <si>
    <t>5.49B</t>
  </si>
  <si>
    <t>4.751B</t>
  </si>
  <si>
    <t>4.706B</t>
  </si>
  <si>
    <t>4.675B</t>
  </si>
  <si>
    <t>4.611B</t>
  </si>
  <si>
    <t>4.554B</t>
  </si>
  <si>
    <t>4.52B</t>
  </si>
  <si>
    <t>4.488B</t>
  </si>
  <si>
    <t>4.32B</t>
  </si>
  <si>
    <t>4.056B</t>
  </si>
  <si>
    <t>Goodwill</t>
  </si>
  <si>
    <t>13.58B</t>
  </si>
  <si>
    <t>10.86B</t>
  </si>
  <si>
    <t>10.35B</t>
  </si>
  <si>
    <t>10.37B</t>
  </si>
  <si>
    <t>10.15B</t>
  </si>
  <si>
    <t>9.605B</t>
  </si>
  <si>
    <t>9.948B</t>
  </si>
  <si>
    <t>9.526B</t>
  </si>
  <si>
    <t>9.387B</t>
  </si>
  <si>
    <t>9.25B</t>
  </si>
  <si>
    <t>Other Intangible Assets</t>
  </si>
  <si>
    <t>324.00M</t>
  </si>
  <si>
    <t>355.00M</t>
  </si>
  <si>
    <t>463.00M</t>
  </si>
  <si>
    <t>605.00M</t>
  </si>
  <si>
    <t>Goodwill and Intangibles</t>
  </si>
  <si>
    <t>17.72B</t>
  </si>
  <si>
    <t>11.19B</t>
  </si>
  <si>
    <t>9.881B</t>
  </si>
  <si>
    <t>9.85B</t>
  </si>
  <si>
    <t>9.855B</t>
  </si>
  <si>
    <t>Long Term Investments</t>
  </si>
  <si>
    <t>Long Term Deferred Assets</t>
  </si>
  <si>
    <t>4.47B</t>
  </si>
  <si>
    <t>4.013B</t>
  </si>
  <si>
    <t>2.85B</t>
  </si>
  <si>
    <t>4.809B</t>
  </si>
  <si>
    <t>4.388B</t>
  </si>
  <si>
    <t>3.485B</t>
  </si>
  <si>
    <t>3.779B</t>
  </si>
  <si>
    <t>4.651B</t>
  </si>
  <si>
    <t>760.00M</t>
  </si>
  <si>
    <t>1.487B</t>
  </si>
  <si>
    <t>Other Long Term Assets</t>
  </si>
  <si>
    <t>5.247B</t>
  </si>
  <si>
    <t>4.774B</t>
  </si>
  <si>
    <t>4.955B</t>
  </si>
  <si>
    <t>4.948B</t>
  </si>
  <si>
    <t>4.667B</t>
  </si>
  <si>
    <t>4.576B</t>
  </si>
  <si>
    <t>4.387B</t>
  </si>
  <si>
    <t>3.736B</t>
  </si>
  <si>
    <t>3.056B</t>
  </si>
  <si>
    <t>2.434B</t>
  </si>
  <si>
    <t>Total Long Term Assets</t>
  </si>
  <si>
    <t>32.93B</t>
  </si>
  <si>
    <t>24.72B</t>
  </si>
  <si>
    <t>22.86B</t>
  </si>
  <si>
    <t>24.80B</t>
  </si>
  <si>
    <t>23.81B</t>
  </si>
  <si>
    <t>22.22B</t>
  </si>
  <si>
    <t>22.63B</t>
  </si>
  <si>
    <t>22.76B</t>
  </si>
  <si>
    <t>17.99B</t>
  </si>
  <si>
    <t>18.07B</t>
  </si>
  <si>
    <t>49.13B</t>
  </si>
  <si>
    <t>37.05B</t>
  </si>
  <si>
    <t>38.66B</t>
  </si>
  <si>
    <t>37.91B</t>
  </si>
  <si>
    <t>35.11B</t>
  </si>
  <si>
    <t>33.44B</t>
  </si>
  <si>
    <t>28.93B</t>
  </si>
  <si>
    <t>28.23B</t>
  </si>
  <si>
    <t>Liabilities (Annual)</t>
  </si>
  <si>
    <t>Accounts Payable</t>
  </si>
  <si>
    <t>1.974B</t>
  </si>
  <si>
    <t>1.562B</t>
  </si>
  <si>
    <t>1.397B</t>
  </si>
  <si>
    <t>2.038B</t>
  </si>
  <si>
    <t>2.269B</t>
  </si>
  <si>
    <t>1.627B</t>
  </si>
  <si>
    <t>2.03B</t>
  </si>
  <si>
    <t>2.163B</t>
  </si>
  <si>
    <t>2.221B</t>
  </si>
  <si>
    <t>Current Tax Payable</t>
  </si>
  <si>
    <t>Total Payables</t>
  </si>
  <si>
    <t>Accrued Expenses</t>
  </si>
  <si>
    <t>1.916B</t>
  </si>
  <si>
    <t>1.824B</t>
  </si>
  <si>
    <t>1.809B</t>
  </si>
  <si>
    <t>1.649B</t>
  </si>
  <si>
    <t>1.664B</t>
  </si>
  <si>
    <t>1.87B</t>
  </si>
  <si>
    <t>1.648B</t>
  </si>
  <si>
    <t>1.684B</t>
  </si>
  <si>
    <t>1.544B</t>
  </si>
  <si>
    <t>1.584B</t>
  </si>
  <si>
    <t>Payables and Accrued Expenses</t>
  </si>
  <si>
    <t>3.89B</t>
  </si>
  <si>
    <t>3.386B</t>
  </si>
  <si>
    <t>3.206B</t>
  </si>
  <si>
    <t>3.687B</t>
  </si>
  <si>
    <t>3.933B</t>
  </si>
  <si>
    <t>3.497B</t>
  </si>
  <si>
    <t>3.678B</t>
  </si>
  <si>
    <t>3.714B</t>
  </si>
  <si>
    <t>3.707B</t>
  </si>
  <si>
    <t>3.805B</t>
  </si>
  <si>
    <t>Current Portion of Long Term Debt</t>
  </si>
  <si>
    <t>956.00M</t>
  </si>
  <si>
    <t>150.00M</t>
  </si>
  <si>
    <t>242.00M</t>
  </si>
  <si>
    <t>104.00M</t>
  </si>
  <si>
    <t>34.00M</t>
  </si>
  <si>
    <t>Current Debt &amp; Capital Lease Obligation</t>
  </si>
  <si>
    <t>Current Deferred Revenue</t>
  </si>
  <si>
    <t>6.988B</t>
  </si>
  <si>
    <t>5.775B</t>
  </si>
  <si>
    <t>6.349B</t>
  </si>
  <si>
    <t>6.503B</t>
  </si>
  <si>
    <t>6.399B</t>
  </si>
  <si>
    <t>5.89B</t>
  </si>
  <si>
    <t>4.535B</t>
  </si>
  <si>
    <t>4.212B</t>
  </si>
  <si>
    <t>3.856B</t>
  </si>
  <si>
    <t>Current Deferred Liabilities</t>
  </si>
  <si>
    <t>Other Current Liability</t>
  </si>
  <si>
    <t>2.223B</t>
  </si>
  <si>
    <t>1.951B</t>
  </si>
  <si>
    <t>1.565B</t>
  </si>
  <si>
    <t>1.815B</t>
  </si>
  <si>
    <t>2.014B</t>
  </si>
  <si>
    <t>1.976B</t>
  </si>
  <si>
    <t>2.051B</t>
  </si>
  <si>
    <t>1.858B</t>
  </si>
  <si>
    <t>Total Current Liabilities</t>
  </si>
  <si>
    <t>14.06B</t>
  </si>
  <si>
    <t>11.11B</t>
  </si>
  <si>
    <t>11.12B</t>
  </si>
  <si>
    <t>12.16B</t>
  </si>
  <si>
    <t>12.13B</t>
  </si>
  <si>
    <t>10.70B</t>
  </si>
  <si>
    <t>10.54B</t>
  </si>
  <si>
    <t>10.04B</t>
  </si>
  <si>
    <t>9.553B</t>
  </si>
  <si>
    <t>Non-Current Portion of Long Term Debt</t>
  </si>
  <si>
    <t>14.30B</t>
  </si>
  <si>
    <t>6.142B</t>
  </si>
  <si>
    <t>6.152B</t>
  </si>
  <si>
    <t>6.158B</t>
  </si>
  <si>
    <t>6.46B</t>
  </si>
  <si>
    <t>5.019B</t>
  </si>
  <si>
    <t>5.052B</t>
  </si>
  <si>
    <t>3.563B</t>
  </si>
  <si>
    <t>4.303B</t>
  </si>
  <si>
    <t>4.405B</t>
  </si>
  <si>
    <t>Non-Current Portion of LTD and Capital Lease Obligation</t>
  </si>
  <si>
    <t>Long Term Deferred Tax Liabilities</t>
  </si>
  <si>
    <t>Non-Current Deferred Liabilities</t>
  </si>
  <si>
    <t>Non-Current Accrued Expenses</t>
  </si>
  <si>
    <t>10.61B</t>
  </si>
  <si>
    <t>10.82B</t>
  </si>
  <si>
    <t>12.00B</t>
  </si>
  <si>
    <t>1.192B</t>
  </si>
  <si>
    <t>Pension Liability</t>
  </si>
  <si>
    <t>12.88B</t>
  </si>
  <si>
    <t>12.52B</t>
  </si>
  <si>
    <t>10.26B</t>
  </si>
  <si>
    <t>16.50B</t>
  </si>
  <si>
    <t>14.78B</t>
  </si>
  <si>
    <t>1.213B</t>
  </si>
  <si>
    <t>1.308B</t>
  </si>
  <si>
    <t>1.386B</t>
  </si>
  <si>
    <t>928.00M</t>
  </si>
  <si>
    <t>4.521B</t>
  </si>
  <si>
    <t>Other Long Term Liabilities</t>
  </si>
  <si>
    <t>4.792B</t>
  </si>
  <si>
    <t>3.877B</t>
  </si>
  <si>
    <t>3.735B</t>
  </si>
  <si>
    <t>3.807B</t>
  </si>
  <si>
    <t>3.541B</t>
  </si>
  <si>
    <t>3.376B</t>
  </si>
  <si>
    <t>3.096B</t>
  </si>
  <si>
    <t>3.079B</t>
  </si>
  <si>
    <t>2.661B</t>
  </si>
  <si>
    <t>2.868B</t>
  </si>
  <si>
    <t>Total Long Term Liabilities</t>
  </si>
  <si>
    <t>31.97B</t>
  </si>
  <si>
    <t>22.53B</t>
  </si>
  <si>
    <t>20.15B</t>
  </si>
  <si>
    <t>26.46B</t>
  </si>
  <si>
    <t>24.78B</t>
  </si>
  <si>
    <t>20.22B</t>
  </si>
  <si>
    <t>20.28B</t>
  </si>
  <si>
    <t>20.03B</t>
  </si>
  <si>
    <t>9.084B</t>
  </si>
  <si>
    <t>11.79B</t>
  </si>
  <si>
    <t>Total Liabilities</t>
  </si>
  <si>
    <t>46.03B</t>
  </si>
  <si>
    <t>33.65B</t>
  </si>
  <si>
    <t>31.27B</t>
  </si>
  <si>
    <t>38.62B</t>
  </si>
  <si>
    <t>36.91B</t>
  </si>
  <si>
    <t>31.62B</t>
  </si>
  <si>
    <t>30.98B</t>
  </si>
  <si>
    <t>30.57B</t>
  </si>
  <si>
    <t>19.12B</t>
  </si>
  <si>
    <t>21.35B</t>
  </si>
  <si>
    <t>Shareholder's Equity (Annual)</t>
  </si>
  <si>
    <t>Total Capital Stock</t>
  </si>
  <si>
    <t>303.00M</t>
  </si>
  <si>
    <t>314.00M</t>
  </si>
  <si>
    <t>319.00M</t>
  </si>
  <si>
    <t>321.00M</t>
  </si>
  <si>
    <t>373.00M</t>
  </si>
  <si>
    <t>393.00M</t>
  </si>
  <si>
    <t>409.00M</t>
  </si>
  <si>
    <t>421.00M</t>
  </si>
  <si>
    <t>Retained Earnings</t>
  </si>
  <si>
    <t>14.24B</t>
  </si>
  <si>
    <t>14.96B</t>
  </si>
  <si>
    <t>14.20B</t>
  </si>
  <si>
    <t>13.21B</t>
  </si>
  <si>
    <t>11.94B</t>
  </si>
  <si>
    <t>12.35B</t>
  </si>
  <si>
    <t>11.62B</t>
  </si>
  <si>
    <t>11.25B</t>
  </si>
  <si>
    <t>9.269B</t>
  </si>
  <si>
    <t>Additional Paid In Capital</t>
  </si>
  <si>
    <t>Preferred Stock</t>
  </si>
  <si>
    <t>Accrued Comprehensive Inc</t>
  </si>
  <si>
    <t>-11.44B</t>
  </si>
  <si>
    <t>-11.87B</t>
  </si>
  <si>
    <t>-9.601B</t>
  </si>
  <si>
    <t>-13.49B</t>
  </si>
  <si>
    <t>-11.26B</t>
  </si>
  <si>
    <t>-9.01B</t>
  </si>
  <si>
    <t>-8.595B</t>
  </si>
  <si>
    <t>-9.149B</t>
  </si>
  <si>
    <t>-1.851B</t>
  </si>
  <si>
    <t>-3.561B</t>
  </si>
  <si>
    <t>Employee Stock Option Plan Debt Guarantee</t>
  </si>
  <si>
    <t>Shareholders Equity</t>
  </si>
  <si>
    <t>3.097B</t>
  </si>
  <si>
    <t>3.40B</t>
  </si>
  <si>
    <t>4.918B</t>
  </si>
  <si>
    <t>39.00M</t>
  </si>
  <si>
    <t>1.001B</t>
  </si>
  <si>
    <t>4.129B</t>
  </si>
  <si>
    <t>2.865B</t>
  </si>
  <si>
    <t>9.805B</t>
  </si>
  <si>
    <t>6.884B</t>
  </si>
  <si>
    <t>Lockheed Martin (LMT) Balance Sheet</t>
  </si>
  <si>
    <t>Cash Flow - Operations (Annual)</t>
  </si>
  <si>
    <t>Net Income Disc. Operations</t>
  </si>
  <si>
    <t>-257.00M</t>
  </si>
  <si>
    <t>Gain/Loss on Sale Business</t>
  </si>
  <si>
    <t>Operating Gains Losses</t>
  </si>
  <si>
    <t>Amortization Expense CF</t>
  </si>
  <si>
    <t>118.00M</t>
  </si>
  <si>
    <t>153.00M</t>
  </si>
  <si>
    <t>164.00M</t>
  </si>
  <si>
    <t>Total Depreciation and Amortization</t>
  </si>
  <si>
    <t>Total Depreciation, Amortization, Depletion</t>
  </si>
  <si>
    <t>Deferred Taxes</t>
  </si>
  <si>
    <t>-445.00M</t>
  </si>
  <si>
    <t>-401.00M</t>
  </si>
  <si>
    <t>-5.000M</t>
  </si>
  <si>
    <t>930.00M</t>
  </si>
  <si>
    <t>-2.000M</t>
  </si>
  <si>
    <t>452.00M</t>
  </si>
  <si>
    <t>567.00M</t>
  </si>
  <si>
    <t>72.00M</t>
  </si>
  <si>
    <t>110.00M</t>
  </si>
  <si>
    <t>75.00M</t>
  </si>
  <si>
    <t>Asset Impairment Charge</t>
  </si>
  <si>
    <t>119.00M</t>
  </si>
  <si>
    <t>195.00M</t>
  </si>
  <si>
    <t>Stock Based Compensation</t>
  </si>
  <si>
    <t>138.00M</t>
  </si>
  <si>
    <t>189.00M</t>
  </si>
  <si>
    <t>167.00M</t>
  </si>
  <si>
    <t>157.00M</t>
  </si>
  <si>
    <t>168.00M</t>
  </si>
  <si>
    <t>154.00M</t>
  </si>
  <si>
    <t>155.00M</t>
  </si>
  <si>
    <t>149.00M</t>
  </si>
  <si>
    <t>Excess Tax Benefit from Stock Compensation</t>
  </si>
  <si>
    <t>-124.00M</t>
  </si>
  <si>
    <t>-129.00M</t>
  </si>
  <si>
    <t>Other Noncash Items</t>
  </si>
  <si>
    <t>240.00M</t>
  </si>
  <si>
    <t>283.00M</t>
  </si>
  <si>
    <t>585.00M</t>
  </si>
  <si>
    <t>215.00M</t>
  </si>
  <si>
    <t>204.00M</t>
  </si>
  <si>
    <t>495.00M</t>
  </si>
  <si>
    <t>85.00M</t>
  </si>
  <si>
    <t>-38.00M</t>
  </si>
  <si>
    <t>329.00M</t>
  </si>
  <si>
    <t>141.00M</t>
  </si>
  <si>
    <t>Change in Receivables</t>
  </si>
  <si>
    <t>-256.00M</t>
  </si>
  <si>
    <t>28.00M</t>
  </si>
  <si>
    <t>767.00M</t>
  </si>
  <si>
    <t>-460.00M</t>
  </si>
  <si>
    <t>-363.00M</t>
  </si>
  <si>
    <t>3.000M</t>
  </si>
  <si>
    <t>-685.00M</t>
  </si>
  <si>
    <t>-333.00M</t>
  </si>
  <si>
    <t>-324.00M</t>
  </si>
  <si>
    <t>94.00M</t>
  </si>
  <si>
    <t>Change in Inventories</t>
  </si>
  <si>
    <t>-398.00M</t>
  </si>
  <si>
    <t>77.00M</t>
  </si>
  <si>
    <t>-60.00M</t>
  </si>
  <si>
    <t>-422.00M</t>
  </si>
  <si>
    <t>-74.00M</t>
  </si>
  <si>
    <t>-207.00M</t>
  </si>
  <si>
    <t>-237.00M</t>
  </si>
  <si>
    <t>-183.00M</t>
  </si>
  <si>
    <t>-57.00M</t>
  </si>
  <si>
    <t>-530.00M</t>
  </si>
  <si>
    <t>Change in Payables and Accrued Expense</t>
  </si>
  <si>
    <t>-160.00M</t>
  </si>
  <si>
    <t>95.00M</t>
  </si>
  <si>
    <t>-647.00M</t>
  </si>
  <si>
    <t>-2.119B</t>
  </si>
  <si>
    <t>913.00M</t>
  </si>
  <si>
    <t>-294.00M</t>
  </si>
  <si>
    <t>-54.00M</t>
  </si>
  <si>
    <t>-66.00M</t>
  </si>
  <si>
    <t>217.00M</t>
  </si>
  <si>
    <t>Change in Other Current Liabilities</t>
  </si>
  <si>
    <t>706.00M</t>
  </si>
  <si>
    <t>Change in Other Working Cap</t>
  </si>
  <si>
    <t>-1.101B</t>
  </si>
  <si>
    <t>-169.00M</t>
  </si>
  <si>
    <t>-478.00M</t>
  </si>
  <si>
    <t>-1.027B</t>
  </si>
  <si>
    <t>63.00M</t>
  </si>
  <si>
    <t>895.00M</t>
  </si>
  <si>
    <t>394.00M</t>
  </si>
  <si>
    <t>Changes in Working Capital</t>
  </si>
  <si>
    <t>174.00M</t>
  </si>
  <si>
    <t>-901.00M</t>
  </si>
  <si>
    <t>-109.00M</t>
  </si>
  <si>
    <t>-3.479B</t>
  </si>
  <si>
    <t>-819.00M</t>
  </si>
  <si>
    <t>-1.152B</t>
  </si>
  <si>
    <t>325.00M</t>
  </si>
  <si>
    <t>-53.00M</t>
  </si>
  <si>
    <t>256.00M</t>
  </si>
  <si>
    <t>Cash from Operations</t>
  </si>
  <si>
    <t>5.101B</t>
  </si>
  <si>
    <t>3.866B</t>
  </si>
  <si>
    <t>4.546B</t>
  </si>
  <si>
    <t>1.561B</t>
  </si>
  <si>
    <t>4.253B</t>
  </si>
  <si>
    <t>3.801B</t>
  </si>
  <si>
    <t>3.487B</t>
  </si>
  <si>
    <t>4.421B</t>
  </si>
  <si>
    <t>4.238B</t>
  </si>
  <si>
    <t>3.765B</t>
  </si>
  <si>
    <t>Cash Flow - Investing (Annual)</t>
  </si>
  <si>
    <t>Net Change in Capital Expenditures</t>
  </si>
  <si>
    <t>-939.00M</t>
  </si>
  <si>
    <t>-845.00M</t>
  </si>
  <si>
    <t>-836.00M</t>
  </si>
  <si>
    <t>-942.00M</t>
  </si>
  <si>
    <t>-987.00M</t>
  </si>
  <si>
    <t>-1.074B</t>
  </si>
  <si>
    <t>-1.166B</t>
  </si>
  <si>
    <t>-926.00M</t>
  </si>
  <si>
    <t>-940.00M</t>
  </si>
  <si>
    <t>-893.00M</t>
  </si>
  <si>
    <t>Sale of PPE</t>
  </si>
  <si>
    <t>Net Change in PP&amp;E</t>
  </si>
  <si>
    <t>-852.00M</t>
  </si>
  <si>
    <t>Net Divestitures (Acquisitions)</t>
  </si>
  <si>
    <t>-9.003B</t>
  </si>
  <si>
    <t>-898.00M</t>
  </si>
  <si>
    <t>-269.00M</t>
  </si>
  <si>
    <t>-259.00M</t>
  </si>
  <si>
    <t>-624.00M</t>
  </si>
  <si>
    <t>650.00M</t>
  </si>
  <si>
    <t>-435.00M</t>
  </si>
  <si>
    <t>-233.00M</t>
  </si>
  <si>
    <t>Total Net Change in Investments</t>
  </si>
  <si>
    <t>-171.00M</t>
  </si>
  <si>
    <t>-279.00M</t>
  </si>
  <si>
    <t>272.00M</t>
  </si>
  <si>
    <t>48.00M</t>
  </si>
  <si>
    <t>Net Other Investing Changes</t>
  </si>
  <si>
    <t>208.00M</t>
  </si>
  <si>
    <t>20.00M</t>
  </si>
  <si>
    <t>-16.00M</t>
  </si>
  <si>
    <t>24.00M</t>
  </si>
  <si>
    <t>823.00M</t>
  </si>
  <si>
    <t>22.00M</t>
  </si>
  <si>
    <t>-20.00M</t>
  </si>
  <si>
    <t>132.00M</t>
  </si>
  <si>
    <t>Cash from Investing</t>
  </si>
  <si>
    <t>-9.734B</t>
  </si>
  <si>
    <t>-1.723B</t>
  </si>
  <si>
    <t>-1.121B</t>
  </si>
  <si>
    <t>-1.177B</t>
  </si>
  <si>
    <t>-788.00M</t>
  </si>
  <si>
    <t>-573.00M</t>
  </si>
  <si>
    <t>-1.832B</t>
  </si>
  <si>
    <t>-907.00M</t>
  </si>
  <si>
    <t>-1.205B</t>
  </si>
  <si>
    <t>-1.655B</t>
  </si>
  <si>
    <t>Cash Flow - Financing (Annual)</t>
  </si>
  <si>
    <t>Net Change in Long Term Debt</t>
  </si>
  <si>
    <t>9.101B</t>
  </si>
  <si>
    <t>-150.00M</t>
  </si>
  <si>
    <t>1.348B</t>
  </si>
  <si>
    <t>1.222B</t>
  </si>
  <si>
    <t>-612.00M</t>
  </si>
  <si>
    <t>-32.00M</t>
  </si>
  <si>
    <t>-210.00M</t>
  </si>
  <si>
    <t>Net Change in Short Term Debt</t>
  </si>
  <si>
    <t>Net Debt Issuance</t>
  </si>
  <si>
    <t>Common Stock Issuance</t>
  </si>
  <si>
    <t>627.00M</t>
  </si>
  <si>
    <t>Common Stock Payments</t>
  </si>
  <si>
    <t>-3.071B</t>
  </si>
  <si>
    <t>-1.90B</t>
  </si>
  <si>
    <t>-1.762B</t>
  </si>
  <si>
    <t>-990.00M</t>
  </si>
  <si>
    <t>-2.465B</t>
  </si>
  <si>
    <t>-2.42B</t>
  </si>
  <si>
    <t>-2.931B</t>
  </si>
  <si>
    <t>-2.127B</t>
  </si>
  <si>
    <t>-2.115B</t>
  </si>
  <si>
    <t>Net Common Equity Issued (Purchased)</t>
  </si>
  <si>
    <t>-1.777B</t>
  </si>
  <si>
    <t>-1.488B</t>
  </si>
  <si>
    <t>Preferred Stock Payments</t>
  </si>
  <si>
    <t>Net Preferred Equity Issued (Purchased)</t>
  </si>
  <si>
    <t>Total Common Dividends Paid</t>
  </si>
  <si>
    <t>-969.00M</t>
  </si>
  <si>
    <t>-908.00M</t>
  </si>
  <si>
    <t>-737.00M</t>
  </si>
  <si>
    <t>-615.00M</t>
  </si>
  <si>
    <t>-538.00M</t>
  </si>
  <si>
    <t>Total Preferred Dividends Paid</t>
  </si>
  <si>
    <t>Total Dividends Paid</t>
  </si>
  <si>
    <t>-1.932B</t>
  </si>
  <si>
    <t>-1.76B</t>
  </si>
  <si>
    <t>-1.54B</t>
  </si>
  <si>
    <t>-1.352B</t>
  </si>
  <si>
    <t>-1.095B</t>
  </si>
  <si>
    <t>Proceeds from Stock Option Exercised</t>
  </si>
  <si>
    <t>827.00M</t>
  </si>
  <si>
    <t>440.00M</t>
  </si>
  <si>
    <t>116.00M</t>
  </si>
  <si>
    <t>59.00M</t>
  </si>
  <si>
    <t>Cash from Other Financing Activities</t>
  </si>
  <si>
    <t>5.000M</t>
  </si>
  <si>
    <t>38.00M</t>
  </si>
  <si>
    <t>-81.00M</t>
  </si>
  <si>
    <t>-166.00M</t>
  </si>
  <si>
    <t>-48.00M</t>
  </si>
  <si>
    <t>-28.00M</t>
  </si>
  <si>
    <t>105.00M</t>
  </si>
  <si>
    <t>342.00M</t>
  </si>
  <si>
    <t>124.00M</t>
  </si>
  <si>
    <t>-224.00M</t>
  </si>
  <si>
    <t>Cash from Financing</t>
  </si>
  <si>
    <t>4.277B</t>
  </si>
  <si>
    <t>-3.314B</t>
  </si>
  <si>
    <t>-2.706B</t>
  </si>
  <si>
    <t>-2.068B</t>
  </si>
  <si>
    <t>-2.144B</t>
  </si>
  <si>
    <t>-3.358B</t>
  </si>
  <si>
    <t>-1.432B</t>
  </si>
  <si>
    <t>-3.938B</t>
  </si>
  <si>
    <t>-2.30B</t>
  </si>
  <si>
    <t>-2.46B</t>
  </si>
  <si>
    <t>Ending Cash (Annual)</t>
  </si>
  <si>
    <t>Beginning Cash</t>
  </si>
  <si>
    <t>2.244B</t>
  </si>
  <si>
    <t>Change in Cash</t>
  </si>
  <si>
    <t>-356.00M</t>
  </si>
  <si>
    <t>-1.171B</t>
  </si>
  <si>
    <t>-1.684B</t>
  </si>
  <si>
    <t>1.321B</t>
  </si>
  <si>
    <t>-130.00M</t>
  </si>
  <si>
    <t>223.00M</t>
  </si>
  <si>
    <t>-480.00M</t>
  </si>
  <si>
    <t>736.00M</t>
  </si>
  <si>
    <t>Cash Foreign Exchange Adjustment</t>
  </si>
  <si>
    <t>-56.00M</t>
  </si>
  <si>
    <t>18.00M</t>
  </si>
  <si>
    <t>Ending Cash</t>
  </si>
  <si>
    <t>Additional Items (Annual)</t>
  </si>
  <si>
    <t>Issuance of Capital Stock</t>
  </si>
  <si>
    <t>Issuance of Debt</t>
  </si>
  <si>
    <t>15.10B</t>
  </si>
  <si>
    <t>1.98B</t>
  </si>
  <si>
    <t>1.464B</t>
  </si>
  <si>
    <t>491.00M</t>
  </si>
  <si>
    <t>Debt Repayment</t>
  </si>
  <si>
    <t>-6.000B</t>
  </si>
  <si>
    <t>-632.00M</t>
  </si>
  <si>
    <t>-242.00M</t>
  </si>
  <si>
    <t>-1.103B</t>
  </si>
  <si>
    <t>Repurchase of Capital Stock</t>
  </si>
  <si>
    <t xml:space="preserve">Lockheed Martin (LMT) Cash Flow </t>
  </si>
  <si>
    <t>P/EPS</t>
  </si>
  <si>
    <t>Current intrinsic value</t>
  </si>
  <si>
    <t>2016 Target Price</t>
  </si>
  <si>
    <t>Sales per sh</t>
  </si>
  <si>
    <t>"cash flow" per sh</t>
  </si>
  <si>
    <t>EPS</t>
  </si>
  <si>
    <t>Div'ds decl'd per sh</t>
  </si>
  <si>
    <t>Cap'l Spending per sh</t>
  </si>
  <si>
    <t>BV per sh</t>
  </si>
  <si>
    <t>Common shs outst'g</t>
  </si>
  <si>
    <t>Avg ann'l P/E ratio</t>
  </si>
  <si>
    <t>Relative P/E ratio</t>
  </si>
  <si>
    <t>Avg Ann'l yield</t>
  </si>
  <si>
    <t>Sales (mil)</t>
  </si>
  <si>
    <t>Oper Marg</t>
  </si>
  <si>
    <t>Deprec</t>
  </si>
  <si>
    <t>Net Profit</t>
  </si>
  <si>
    <t xml:space="preserve">Income Tax rate </t>
  </si>
  <si>
    <t>Net Profit Margin</t>
  </si>
  <si>
    <t>Working Cap</t>
  </si>
  <si>
    <t>Shr Equities</t>
  </si>
  <si>
    <t>Return on Total Cap</t>
  </si>
  <si>
    <t>Return on shr Equity</t>
  </si>
  <si>
    <t>nmf</t>
  </si>
  <si>
    <t>Ret to com eq</t>
  </si>
  <si>
    <t>All div'd to net profit</t>
  </si>
  <si>
    <t>ROE</t>
  </si>
  <si>
    <t>ROA</t>
  </si>
  <si>
    <t>ROIC</t>
  </si>
  <si>
    <t>Comparable Companies Analysis</t>
  </si>
  <si>
    <t>($ in millions, except per share data)</t>
  </si>
  <si>
    <t>as of 4/25/2016</t>
  </si>
  <si>
    <t>% of</t>
  </si>
  <si>
    <t>Enterprise Value-to-</t>
  </si>
  <si>
    <t>Total</t>
  </si>
  <si>
    <t>Price-to-</t>
  </si>
  <si>
    <t>Share</t>
  </si>
  <si>
    <t>52-wk.</t>
  </si>
  <si>
    <t>Equity</t>
  </si>
  <si>
    <t>Enterprise</t>
  </si>
  <si>
    <t>T12M</t>
  </si>
  <si>
    <t>Debt /</t>
  </si>
  <si>
    <t>Company</t>
  </si>
  <si>
    <t>Ticker</t>
  </si>
  <si>
    <t>Price</t>
  </si>
  <si>
    <t>Sales</t>
  </si>
  <si>
    <t>Margin</t>
  </si>
  <si>
    <t>Lockheed Martin</t>
  </si>
  <si>
    <t>Northrop Grumman</t>
  </si>
  <si>
    <t>NOC</t>
  </si>
  <si>
    <t>Raytheon</t>
  </si>
  <si>
    <t>RTN</t>
  </si>
  <si>
    <t>Boeing</t>
  </si>
  <si>
    <t>BA</t>
  </si>
  <si>
    <t>General Dynamics</t>
  </si>
  <si>
    <t>GD</t>
  </si>
  <si>
    <t>Mean</t>
  </si>
  <si>
    <t>diluted wtg</t>
  </si>
  <si>
    <t>52-week High</t>
  </si>
  <si>
    <t>#shares mil</t>
  </si>
  <si>
    <t>Debt (mil)</t>
  </si>
  <si>
    <t>Pfd &amp; Others</t>
  </si>
  <si>
    <t>Cash (mil)</t>
  </si>
  <si>
    <t>EBITDA (mil)</t>
  </si>
  <si>
    <t>EBIT (mil)</t>
  </si>
  <si>
    <t>LMT Price @ 04/25/16 =226.79</t>
  </si>
  <si>
    <t>Implied Share Price Analysis</t>
  </si>
  <si>
    <t>Fully</t>
  </si>
  <si>
    <t>EV/EBITDA</t>
  </si>
  <si>
    <t>Implied</t>
  </si>
  <si>
    <t>Less:</t>
  </si>
  <si>
    <t xml:space="preserve">Implied </t>
  </si>
  <si>
    <t>Diluted</t>
  </si>
  <si>
    <t>Multiple Range</t>
  </si>
  <si>
    <t>Enterprise Value</t>
  </si>
  <si>
    <t>Net Debt</t>
  </si>
  <si>
    <t>Equity Value</t>
  </si>
  <si>
    <t>Shares</t>
  </si>
  <si>
    <t>Share Price</t>
  </si>
  <si>
    <t>EV/EBIT</t>
  </si>
  <si>
    <t>Plus:</t>
  </si>
  <si>
    <t>Intrinsic Value</t>
  </si>
  <si>
    <t>Total PV</t>
  </si>
  <si>
    <t>PV</t>
  </si>
  <si>
    <t>Residual Income</t>
  </si>
  <si>
    <t>TV@</t>
  </si>
  <si>
    <t>Equity Charge</t>
  </si>
  <si>
    <t>Forecast BV</t>
  </si>
  <si>
    <t>COE</t>
  </si>
  <si>
    <t>RIVM</t>
  </si>
  <si>
    <t>Excess Return</t>
  </si>
  <si>
    <t>Avg:</t>
  </si>
  <si>
    <t>After-tax Int</t>
  </si>
  <si>
    <t>Tot Assets</t>
  </si>
  <si>
    <t>Growth</t>
  </si>
  <si>
    <t>FCFFModel</t>
  </si>
  <si>
    <t>Div Model</t>
  </si>
  <si>
    <t>Cost Equity:</t>
  </si>
  <si>
    <t>Lease</t>
  </si>
  <si>
    <t>256m</t>
  </si>
  <si>
    <t>Growth rate</t>
  </si>
  <si>
    <t>Sensitivity analysis, Gordon Growth Model</t>
  </si>
  <si>
    <t>Cost of equity</t>
  </si>
  <si>
    <t>Method</t>
  </si>
  <si>
    <t>FCFF Model</t>
  </si>
  <si>
    <t>RI Model</t>
  </si>
  <si>
    <t>Low-High</t>
  </si>
  <si>
    <t>Divd.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</si>
</sst>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(&quot;$&quot;* #,##0.0_);_(&quot;$&quot;* \(#,##0.0\);_(&quot;$&quot;* &quot;-&quot;??_);_(@_)"/>
    <numFmt numFmtId="167" formatCode="0.0%"/>
    <numFmt numFmtId="168" formatCode="0.0"/>
    <numFmt numFmtId="169" formatCode="0.00\x"/>
    <numFmt numFmtId="170" formatCode="&quot;$&quot;#,##0.0"/>
    <numFmt numFmtId="171" formatCode="0.0\x"/>
    <numFmt numFmtId="172" formatCode="_(* #,##0_);_(* \(#,##0\);_(* &quot;-&quot;??_);_(@_)"/>
    <numFmt numFmtId="173" formatCode="&quot;$&quot;#,##0.00;[Red]&quot;$&quot;#,##0.00"/>
    <numFmt numFmtId="174" formatCode="&quot;$&quot;#,##0.00"/>
    <numFmt numFmtId="175" formatCode="&quot;$&quot;#,##0"/>
    <numFmt numFmtId="176" formatCode="_(* #,##0.0_);_(* \(#,##0.0\);_(* &quot;-&quot;??_);_(@_)"/>
    <numFmt numFmtId="177" formatCode="_(&quot;$&quot;* #,##0_);_(&quot;$&quot;* \(#,##0\);_(&quot;$&quot;* &quot;-&quot;??_);_(@_)"/>
    <numFmt numFmtId="178" formatCode="0.0\x\ \-\-"/>
    <numFmt numFmtId="179" formatCode="&quot;$&quot;#,##0\ \-\-"/>
    <numFmt numFmtId="180" formatCode="&quot;$&quot;#,##0.00\ \-\-"/>
  </numFmts>
  <fonts count="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9"/>
      <name val="Arial"/>
      <family val="2"/>
    </font>
    <font>
      <i/>
      <sz val="10"/>
      <color indexed="9"/>
      <name val="Arial"/>
      <family val="2"/>
    </font>
    <font>
      <b/>
      <sz val="10"/>
      <color indexed="9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u/>
      <sz val="12"/>
      <color theme="0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dashed">
        <color auto="1"/>
      </left>
      <right/>
      <top style="medium">
        <color auto="1"/>
      </top>
      <bottom/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dashed">
        <color auto="1"/>
      </left>
      <right/>
      <top/>
      <bottom style="medium">
        <color auto="1"/>
      </bottom>
      <diagonal/>
    </border>
    <border>
      <left/>
      <right style="dashed">
        <color auto="1"/>
      </right>
      <top/>
      <bottom style="medium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5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76">
    <xf numFmtId="0" fontId="0" fillId="0" borderId="0" xfId="0"/>
    <xf numFmtId="0" fontId="0" fillId="0" borderId="0" xfId="0" applyFill="1" applyBorder="1"/>
    <xf numFmtId="0" fontId="0" fillId="0" borderId="0" xfId="0" applyFill="1"/>
    <xf numFmtId="0" fontId="5" fillId="0" borderId="0" xfId="0" applyFont="1" applyAlignment="1">
      <alignment horizontal="right"/>
    </xf>
    <xf numFmtId="0" fontId="4" fillId="0" borderId="0" xfId="0" applyFont="1"/>
    <xf numFmtId="166" fontId="0" fillId="0" borderId="2" xfId="0" applyNumberFormat="1" applyBorder="1"/>
    <xf numFmtId="166" fontId="0" fillId="0" borderId="3" xfId="0" applyNumberFormat="1" applyBorder="1"/>
    <xf numFmtId="0" fontId="2" fillId="0" borderId="0" xfId="0" applyFont="1"/>
    <xf numFmtId="0" fontId="0" fillId="0" borderId="5" xfId="0" applyBorder="1"/>
    <xf numFmtId="166" fontId="0" fillId="0" borderId="6" xfId="0" applyNumberFormat="1" applyBorder="1"/>
    <xf numFmtId="166" fontId="0" fillId="0" borderId="5" xfId="0" applyNumberFormat="1" applyBorder="1"/>
    <xf numFmtId="0" fontId="7" fillId="0" borderId="0" xfId="0" applyFont="1" applyBorder="1"/>
    <xf numFmtId="0" fontId="0" fillId="0" borderId="0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0" fillId="0" borderId="8" xfId="0" applyBorder="1"/>
    <xf numFmtId="167" fontId="0" fillId="0" borderId="0" xfId="3" applyNumberFormat="1" applyFont="1"/>
    <xf numFmtId="0" fontId="0" fillId="0" borderId="11" xfId="0" applyBorder="1"/>
    <xf numFmtId="0" fontId="0" fillId="0" borderId="12" xfId="0" applyBorder="1"/>
    <xf numFmtId="10" fontId="0" fillId="0" borderId="0" xfId="0" applyNumberFormat="1" applyFill="1"/>
    <xf numFmtId="10" fontId="0" fillId="0" borderId="0" xfId="3" applyNumberFormat="1" applyFont="1" applyFill="1"/>
    <xf numFmtId="0" fontId="0" fillId="0" borderId="11" xfId="0" applyFill="1" applyBorder="1"/>
    <xf numFmtId="10" fontId="0" fillId="0" borderId="0" xfId="3" applyNumberFormat="1" applyFont="1"/>
    <xf numFmtId="10" fontId="0" fillId="0" borderId="5" xfId="3" applyNumberFormat="1" applyFont="1" applyBorder="1"/>
    <xf numFmtId="10" fontId="0" fillId="0" borderId="0" xfId="0" applyNumberFormat="1"/>
    <xf numFmtId="2" fontId="0" fillId="0" borderId="0" xfId="0" applyNumberFormat="1"/>
    <xf numFmtId="0" fontId="0" fillId="0" borderId="15" xfId="0" applyBorder="1"/>
    <xf numFmtId="0" fontId="0" fillId="0" borderId="6" xfId="0" applyBorder="1"/>
    <xf numFmtId="165" fontId="0" fillId="0" borderId="0" xfId="1" applyFont="1"/>
    <xf numFmtId="0" fontId="7" fillId="0" borderId="0" xfId="0" applyFont="1"/>
    <xf numFmtId="0" fontId="5" fillId="0" borderId="0" xfId="0" applyFont="1" applyFill="1" applyBorder="1" applyAlignment="1">
      <alignment horizontal="right"/>
    </xf>
    <xf numFmtId="167" fontId="0" fillId="0" borderId="0" xfId="0" applyNumberFormat="1"/>
    <xf numFmtId="43" fontId="0" fillId="0" borderId="0" xfId="0" applyNumberFormat="1"/>
    <xf numFmtId="0" fontId="0" fillId="0" borderId="0" xfId="0" quotePrefix="1" applyBorder="1"/>
    <xf numFmtId="43" fontId="0" fillId="0" borderId="0" xfId="0" applyNumberFormat="1" applyBorder="1"/>
    <xf numFmtId="2" fontId="0" fillId="5" borderId="0" xfId="0" applyNumberFormat="1" applyFill="1" applyBorder="1"/>
    <xf numFmtId="2" fontId="0" fillId="5" borderId="13" xfId="0" applyNumberFormat="1" applyFill="1" applyBorder="1"/>
    <xf numFmtId="173" fontId="0" fillId="0" borderId="5" xfId="0" applyNumberFormat="1" applyBorder="1"/>
    <xf numFmtId="173" fontId="0" fillId="0" borderId="3" xfId="0" applyNumberFormat="1" applyBorder="1"/>
    <xf numFmtId="173" fontId="0" fillId="0" borderId="4" xfId="0" applyNumberFormat="1" applyBorder="1"/>
    <xf numFmtId="173" fontId="0" fillId="0" borderId="7" xfId="0" applyNumberFormat="1" applyBorder="1"/>
    <xf numFmtId="173" fontId="0" fillId="0" borderId="2" xfId="0" applyNumberFormat="1" applyBorder="1"/>
    <xf numFmtId="173" fontId="0" fillId="0" borderId="6" xfId="0" applyNumberFormat="1" applyBorder="1"/>
    <xf numFmtId="0" fontId="0" fillId="0" borderId="1" xfId="0" applyBorder="1"/>
    <xf numFmtId="173" fontId="0" fillId="0" borderId="0" xfId="0" applyNumberFormat="1"/>
    <xf numFmtId="10" fontId="0" fillId="0" borderId="0" xfId="0" applyNumberFormat="1" applyBorder="1"/>
    <xf numFmtId="0" fontId="0" fillId="0" borderId="7" xfId="0" applyBorder="1"/>
    <xf numFmtId="10" fontId="0" fillId="0" borderId="11" xfId="0" applyNumberFormat="1" applyBorder="1"/>
    <xf numFmtId="0" fontId="0" fillId="5" borderId="0" xfId="0" applyFill="1"/>
    <xf numFmtId="0" fontId="19" fillId="3" borderId="0" xfId="0" applyFont="1" applyFill="1"/>
    <xf numFmtId="0" fontId="0" fillId="3" borderId="0" xfId="0" applyFill="1"/>
    <xf numFmtId="0" fontId="20" fillId="3" borderId="0" xfId="0" applyFont="1" applyFill="1"/>
    <xf numFmtId="0" fontId="0" fillId="0" borderId="17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/>
    <xf numFmtId="0" fontId="23" fillId="8" borderId="16" xfId="0" applyFont="1" applyFill="1" applyBorder="1"/>
    <xf numFmtId="0" fontId="23" fillId="8" borderId="17" xfId="0" applyFont="1" applyFill="1" applyBorder="1" applyAlignment="1">
      <alignment horizontal="center"/>
    </xf>
    <xf numFmtId="0" fontId="23" fillId="8" borderId="17" xfId="0" applyFont="1" applyFill="1" applyBorder="1"/>
    <xf numFmtId="171" fontId="23" fillId="8" borderId="28" xfId="0" applyNumberFormat="1" applyFont="1" applyFill="1" applyBorder="1" applyAlignment="1">
      <alignment horizontal="center"/>
    </xf>
    <xf numFmtId="171" fontId="23" fillId="8" borderId="17" xfId="0" applyNumberFormat="1" applyFont="1" applyFill="1" applyBorder="1" applyAlignment="1">
      <alignment horizontal="center"/>
    </xf>
    <xf numFmtId="171" fontId="23" fillId="8" borderId="29" xfId="0" applyNumberFormat="1" applyFont="1" applyFill="1" applyBorder="1" applyAlignment="1">
      <alignment horizontal="center"/>
    </xf>
    <xf numFmtId="9" fontId="23" fillId="8" borderId="17" xfId="0" applyNumberFormat="1" applyFont="1" applyFill="1" applyBorder="1" applyAlignment="1">
      <alignment horizontal="center"/>
    </xf>
    <xf numFmtId="0" fontId="23" fillId="8" borderId="30" xfId="0" applyFont="1" applyFill="1" applyBorder="1"/>
    <xf numFmtId="0" fontId="23" fillId="8" borderId="27" xfId="0" applyFont="1" applyFill="1" applyBorder="1" applyAlignment="1">
      <alignment horizontal="center"/>
    </xf>
    <xf numFmtId="0" fontId="23" fillId="8" borderId="27" xfId="0" applyFont="1" applyFill="1" applyBorder="1"/>
    <xf numFmtId="171" fontId="23" fillId="8" borderId="31" xfId="0" applyNumberFormat="1" applyFont="1" applyFill="1" applyBorder="1" applyAlignment="1">
      <alignment horizontal="center"/>
    </xf>
    <xf numFmtId="171" fontId="23" fillId="8" borderId="27" xfId="0" applyNumberFormat="1" applyFont="1" applyFill="1" applyBorder="1" applyAlignment="1">
      <alignment horizontal="center"/>
    </xf>
    <xf numFmtId="171" fontId="23" fillId="8" borderId="32" xfId="0" applyNumberFormat="1" applyFont="1" applyFill="1" applyBorder="1" applyAlignment="1">
      <alignment horizontal="center"/>
    </xf>
    <xf numFmtId="9" fontId="23" fillId="8" borderId="27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23" fillId="0" borderId="5" xfId="0" applyFont="1" applyBorder="1"/>
    <xf numFmtId="0" fontId="23" fillId="0" borderId="5" xfId="0" applyFont="1" applyBorder="1" applyAlignment="1">
      <alignment horizontal="center"/>
    </xf>
    <xf numFmtId="0" fontId="0" fillId="0" borderId="0" xfId="0" applyFill="1" applyAlignment="1">
      <alignment horizontal="center"/>
    </xf>
    <xf numFmtId="178" fontId="0" fillId="0" borderId="0" xfId="0" applyNumberFormat="1" applyFill="1" applyAlignment="1">
      <alignment horizontal="right"/>
    </xf>
    <xf numFmtId="171" fontId="0" fillId="0" borderId="0" xfId="0" applyNumberFormat="1" applyFill="1" applyAlignment="1">
      <alignment horizontal="left"/>
    </xf>
    <xf numFmtId="179" fontId="0" fillId="0" borderId="0" xfId="0" applyNumberFormat="1" applyFill="1"/>
    <xf numFmtId="175" fontId="0" fillId="0" borderId="0" xfId="0" applyNumberFormat="1" applyFill="1" applyAlignment="1">
      <alignment horizontal="left"/>
    </xf>
    <xf numFmtId="38" fontId="0" fillId="0" borderId="0" xfId="0" applyNumberFormat="1" applyFill="1"/>
    <xf numFmtId="175" fontId="0" fillId="0" borderId="0" xfId="0" applyNumberFormat="1" applyFill="1"/>
    <xf numFmtId="180" fontId="0" fillId="0" borderId="0" xfId="0" applyNumberFormat="1" applyFill="1"/>
    <xf numFmtId="174" fontId="0" fillId="0" borderId="0" xfId="0" applyNumberFormat="1" applyFill="1" applyAlignment="1">
      <alignment horizontal="left"/>
    </xf>
    <xf numFmtId="2" fontId="0" fillId="5" borderId="15" xfId="0" applyNumberFormat="1" applyFill="1" applyBorder="1"/>
    <xf numFmtId="2" fontId="0" fillId="5" borderId="11" xfId="0" applyNumberFormat="1" applyFill="1" applyBorder="1"/>
    <xf numFmtId="2" fontId="0" fillId="5" borderId="7" xfId="0" applyNumberFormat="1" applyFill="1" applyBorder="1"/>
    <xf numFmtId="2" fontId="0" fillId="5" borderId="5" xfId="0" applyNumberFormat="1" applyFill="1" applyBorder="1"/>
    <xf numFmtId="2" fontId="0" fillId="5" borderId="6" xfId="0" applyNumberFormat="1" applyFill="1" applyBorder="1"/>
    <xf numFmtId="2" fontId="0" fillId="5" borderId="0" xfId="0" applyNumberFormat="1" applyFill="1"/>
    <xf numFmtId="0" fontId="0" fillId="5" borderId="13" xfId="0" applyFill="1" applyBorder="1"/>
    <xf numFmtId="10" fontId="0" fillId="5" borderId="0" xfId="24" applyNumberFormat="1" applyFont="1" applyFill="1"/>
    <xf numFmtId="10" fontId="0" fillId="5" borderId="13" xfId="0" applyNumberFormat="1" applyFill="1" applyBorder="1"/>
    <xf numFmtId="10" fontId="0" fillId="5" borderId="11" xfId="0" applyNumberFormat="1" applyFill="1" applyBorder="1"/>
    <xf numFmtId="10" fontId="0" fillId="5" borderId="13" xfId="24" applyNumberFormat="1" applyFont="1" applyFill="1" applyBorder="1"/>
    <xf numFmtId="10" fontId="0" fillId="5" borderId="11" xfId="24" applyNumberFormat="1" applyFont="1" applyFill="1" applyBorder="1"/>
    <xf numFmtId="0" fontId="0" fillId="0" borderId="13" xfId="0" applyBorder="1"/>
    <xf numFmtId="2" fontId="0" fillId="5" borderId="4" xfId="0" applyNumberFormat="1" applyFill="1" applyBorder="1"/>
    <xf numFmtId="2" fontId="0" fillId="5" borderId="8" xfId="0" applyNumberFormat="1" applyFill="1" applyBorder="1"/>
    <xf numFmtId="2" fontId="0" fillId="5" borderId="13" xfId="0" applyNumberFormat="1" applyFill="1" applyBorder="1" applyAlignment="1">
      <alignment horizontal="right" wrapText="1"/>
    </xf>
    <xf numFmtId="2" fontId="0" fillId="5" borderId="11" xfId="0" applyNumberFormat="1" applyFill="1" applyBorder="1" applyAlignment="1">
      <alignment horizontal="right" wrapText="1"/>
    </xf>
    <xf numFmtId="0" fontId="0" fillId="5" borderId="15" xfId="0" applyFill="1" applyBorder="1"/>
    <xf numFmtId="0" fontId="0" fillId="5" borderId="11" xfId="0" applyFill="1" applyBorder="1"/>
    <xf numFmtId="168" fontId="0" fillId="5" borderId="15" xfId="0" applyNumberFormat="1" applyFill="1" applyBorder="1"/>
    <xf numFmtId="167" fontId="0" fillId="5" borderId="4" xfId="0" applyNumberFormat="1" applyFill="1" applyBorder="1"/>
    <xf numFmtId="167" fontId="0" fillId="5" borderId="8" xfId="0" applyNumberFormat="1" applyFill="1" applyBorder="1"/>
    <xf numFmtId="167" fontId="0" fillId="5" borderId="8" xfId="3" applyNumberFormat="1" applyFont="1" applyFill="1" applyBorder="1"/>
    <xf numFmtId="167" fontId="0" fillId="5" borderId="13" xfId="3" applyNumberFormat="1" applyFont="1" applyFill="1" applyBorder="1"/>
    <xf numFmtId="167" fontId="0" fillId="5" borderId="11" xfId="3" applyNumberFormat="1" applyFont="1" applyFill="1" applyBorder="1"/>
    <xf numFmtId="167" fontId="0" fillId="5" borderId="13" xfId="0" applyNumberFormat="1" applyFill="1" applyBorder="1"/>
    <xf numFmtId="167" fontId="0" fillId="5" borderId="11" xfId="0" applyNumberFormat="1" applyFill="1" applyBorder="1"/>
    <xf numFmtId="167" fontId="0" fillId="5" borderId="7" xfId="0" applyNumberFormat="1" applyFill="1" applyBorder="1"/>
    <xf numFmtId="167" fontId="0" fillId="5" borderId="15" xfId="0" applyNumberFormat="1" applyFill="1" applyBorder="1"/>
    <xf numFmtId="169" fontId="0" fillId="5" borderId="7" xfId="0" applyNumberFormat="1" applyFill="1" applyBorder="1"/>
    <xf numFmtId="169" fontId="0" fillId="5" borderId="15" xfId="0" applyNumberFormat="1" applyFill="1" applyBorder="1"/>
    <xf numFmtId="170" fontId="0" fillId="5" borderId="10" xfId="0" applyNumberFormat="1" applyFill="1" applyBorder="1"/>
    <xf numFmtId="170" fontId="0" fillId="5" borderId="1" xfId="0" applyNumberFormat="1" applyFill="1" applyBorder="1"/>
    <xf numFmtId="169" fontId="0" fillId="5" borderId="4" xfId="0" applyNumberFormat="1" applyFill="1" applyBorder="1"/>
    <xf numFmtId="169" fontId="0" fillId="5" borderId="8" xfId="0" applyNumberFormat="1" applyFill="1" applyBorder="1"/>
    <xf numFmtId="169" fontId="0" fillId="5" borderId="13" xfId="0" applyNumberFormat="1" applyFill="1" applyBorder="1"/>
    <xf numFmtId="169" fontId="0" fillId="5" borderId="11" xfId="0" applyNumberFormat="1" applyFill="1" applyBorder="1"/>
    <xf numFmtId="10" fontId="0" fillId="5" borderId="13" xfId="3" applyNumberFormat="1" applyFont="1" applyFill="1" applyBorder="1"/>
    <xf numFmtId="10" fontId="0" fillId="5" borderId="11" xfId="3" applyNumberFormat="1" applyFont="1" applyFill="1" applyBorder="1"/>
    <xf numFmtId="167" fontId="0" fillId="5" borderId="4" xfId="3" applyNumberFormat="1" applyFont="1" applyFill="1" applyBorder="1"/>
    <xf numFmtId="171" fontId="0" fillId="5" borderId="4" xfId="0" applyNumberFormat="1" applyFill="1" applyBorder="1" applyAlignment="1">
      <alignment horizontal="right" wrapText="1"/>
    </xf>
    <xf numFmtId="171" fontId="0" fillId="5" borderId="8" xfId="0" applyNumberFormat="1" applyFill="1" applyBorder="1" applyAlignment="1">
      <alignment horizontal="right" wrapText="1"/>
    </xf>
    <xf numFmtId="171" fontId="0" fillId="5" borderId="7" xfId="0" applyNumberFormat="1" applyFill="1" applyBorder="1" applyAlignment="1">
      <alignment horizontal="right" wrapText="1"/>
    </xf>
    <xf numFmtId="171" fontId="0" fillId="5" borderId="15" xfId="0" applyNumberFormat="1" applyFill="1" applyBorder="1" applyAlignment="1">
      <alignment horizontal="right" wrapText="1"/>
    </xf>
    <xf numFmtId="0" fontId="0" fillId="5" borderId="8" xfId="0" applyFill="1" applyBorder="1"/>
    <xf numFmtId="38" fontId="0" fillId="5" borderId="8" xfId="0" applyNumberFormat="1" applyFill="1" applyBorder="1" applyAlignment="1">
      <alignment horizontal="left" wrapText="1"/>
    </xf>
    <xf numFmtId="38" fontId="0" fillId="5" borderId="11" xfId="0" applyNumberFormat="1" applyFill="1" applyBorder="1" applyAlignment="1">
      <alignment horizontal="left"/>
    </xf>
    <xf numFmtId="38" fontId="0" fillId="5" borderId="13" xfId="0" applyNumberFormat="1" applyFill="1" applyBorder="1" applyAlignment="1">
      <alignment horizontal="left"/>
    </xf>
    <xf numFmtId="38" fontId="0" fillId="5" borderId="15" xfId="0" applyNumberFormat="1" applyFill="1" applyBorder="1" applyAlignment="1">
      <alignment horizontal="left"/>
    </xf>
    <xf numFmtId="38" fontId="11" fillId="5" borderId="1" xfId="1" applyNumberFormat="1" applyFont="1" applyFill="1" applyBorder="1" applyAlignment="1">
      <alignment horizontal="left"/>
    </xf>
    <xf numFmtId="38" fontId="11" fillId="5" borderId="10" xfId="1" applyNumberFormat="1" applyFont="1" applyFill="1" applyBorder="1" applyAlignment="1">
      <alignment horizontal="left"/>
    </xf>
    <xf numFmtId="38" fontId="0" fillId="5" borderId="8" xfId="1" applyNumberFormat="1" applyFont="1" applyFill="1" applyBorder="1" applyAlignment="1">
      <alignment horizontal="left"/>
    </xf>
    <xf numFmtId="38" fontId="0" fillId="5" borderId="4" xfId="1" applyNumberFormat="1" applyFont="1" applyFill="1" applyBorder="1" applyAlignment="1">
      <alignment horizontal="left"/>
    </xf>
    <xf numFmtId="38" fontId="0" fillId="5" borderId="11" xfId="1" applyNumberFormat="1" applyFont="1" applyFill="1" applyBorder="1" applyAlignment="1">
      <alignment horizontal="left"/>
    </xf>
    <xf numFmtId="38" fontId="0" fillId="5" borderId="13" xfId="1" applyNumberFormat="1" applyFont="1" applyFill="1" applyBorder="1" applyAlignment="1">
      <alignment horizontal="left"/>
    </xf>
    <xf numFmtId="38" fontId="0" fillId="5" borderId="11" xfId="0" applyNumberFormat="1" applyFill="1" applyBorder="1" applyAlignment="1">
      <alignment horizontal="left" wrapText="1"/>
    </xf>
    <xf numFmtId="38" fontId="0" fillId="5" borderId="13" xfId="0" applyNumberFormat="1" applyFill="1" applyBorder="1" applyAlignment="1">
      <alignment horizontal="left" wrapText="1"/>
    </xf>
    <xf numFmtId="38" fontId="11" fillId="5" borderId="1" xfId="0" applyNumberFormat="1" applyFont="1" applyFill="1" applyBorder="1" applyAlignment="1">
      <alignment horizontal="left"/>
    </xf>
    <xf numFmtId="38" fontId="11" fillId="5" borderId="10" xfId="0" applyNumberFormat="1" applyFont="1" applyFill="1" applyBorder="1" applyAlignment="1">
      <alignment horizontal="left"/>
    </xf>
    <xf numFmtId="38" fontId="0" fillId="5" borderId="7" xfId="0" applyNumberFormat="1" applyFill="1" applyBorder="1" applyAlignment="1">
      <alignment horizontal="left" wrapText="1"/>
    </xf>
    <xf numFmtId="3" fontId="11" fillId="5" borderId="1" xfId="0" applyNumberFormat="1" applyFont="1" applyFill="1" applyBorder="1" applyAlignment="1">
      <alignment horizontal="left"/>
    </xf>
    <xf numFmtId="3" fontId="11" fillId="5" borderId="10" xfId="0" applyNumberFormat="1" applyFont="1" applyFill="1" applyBorder="1" applyAlignment="1">
      <alignment horizontal="left"/>
    </xf>
    <xf numFmtId="172" fontId="0" fillId="0" borderId="13" xfId="1" applyNumberFormat="1" applyFont="1" applyFill="1" applyBorder="1"/>
    <xf numFmtId="172" fontId="0" fillId="0" borderId="11" xfId="1" applyNumberFormat="1" applyFont="1" applyFill="1" applyBorder="1"/>
    <xf numFmtId="0" fontId="0" fillId="4" borderId="11" xfId="0" applyFill="1" applyBorder="1"/>
    <xf numFmtId="168" fontId="0" fillId="0" borderId="15" xfId="0" applyNumberFormat="1" applyBorder="1" applyAlignment="1">
      <alignment horizontal="left" indent="2"/>
    </xf>
    <xf numFmtId="0" fontId="0" fillId="0" borderId="4" xfId="0" applyBorder="1"/>
    <xf numFmtId="0" fontId="0" fillId="0" borderId="5" xfId="0" applyFill="1" applyBorder="1"/>
    <xf numFmtId="172" fontId="0" fillId="0" borderId="7" xfId="1" applyNumberFormat="1" applyFont="1" applyBorder="1"/>
    <xf numFmtId="172" fontId="0" fillId="0" borderId="15" xfId="0" applyNumberFormat="1" applyBorder="1"/>
    <xf numFmtId="172" fontId="0" fillId="0" borderId="15" xfId="1" applyNumberFormat="1" applyFont="1" applyBorder="1"/>
    <xf numFmtId="0" fontId="0" fillId="0" borderId="9" xfId="0" applyBorder="1"/>
    <xf numFmtId="10" fontId="0" fillId="0" borderId="10" xfId="0" applyNumberFormat="1" applyBorder="1"/>
    <xf numFmtId="10" fontId="0" fillId="0" borderId="1" xfId="0" applyNumberFormat="1" applyBorder="1"/>
    <xf numFmtId="2" fontId="0" fillId="9" borderId="8" xfId="0" applyNumberFormat="1" applyFill="1" applyBorder="1"/>
    <xf numFmtId="2" fontId="0" fillId="9" borderId="4" xfId="0" applyNumberFormat="1" applyFill="1" applyBorder="1"/>
    <xf numFmtId="2" fontId="0" fillId="9" borderId="11" xfId="0" applyNumberFormat="1" applyFill="1" applyBorder="1"/>
    <xf numFmtId="2" fontId="0" fillId="9" borderId="13" xfId="0" applyNumberFormat="1" applyFill="1" applyBorder="1"/>
    <xf numFmtId="2" fontId="0" fillId="9" borderId="15" xfId="0" applyNumberFormat="1" applyFill="1" applyBorder="1"/>
    <xf numFmtId="167" fontId="0" fillId="9" borderId="8" xfId="3" applyNumberFormat="1" applyFont="1" applyFill="1" applyBorder="1"/>
    <xf numFmtId="167" fontId="0" fillId="9" borderId="0" xfId="3" applyNumberFormat="1" applyFont="1" applyFill="1" applyBorder="1"/>
    <xf numFmtId="167" fontId="0" fillId="9" borderId="11" xfId="3" applyNumberFormat="1" applyFont="1" applyFill="1" applyBorder="1"/>
    <xf numFmtId="167" fontId="0" fillId="9" borderId="15" xfId="3" applyNumberFormat="1" applyFont="1" applyFill="1" applyBorder="1"/>
    <xf numFmtId="167" fontId="0" fillId="9" borderId="5" xfId="3" applyNumberFormat="1" applyFont="1" applyFill="1" applyBorder="1"/>
    <xf numFmtId="169" fontId="0" fillId="9" borderId="15" xfId="3" applyNumberFormat="1" applyFont="1" applyFill="1" applyBorder="1"/>
    <xf numFmtId="169" fontId="0" fillId="9" borderId="5" xfId="3" applyNumberFormat="1" applyFont="1" applyFill="1" applyBorder="1"/>
    <xf numFmtId="2" fontId="0" fillId="6" borderId="8" xfId="0" applyNumberFormat="1" applyFill="1" applyBorder="1"/>
    <xf numFmtId="2" fontId="0" fillId="6" borderId="4" xfId="0" applyNumberFormat="1" applyFill="1" applyBorder="1"/>
    <xf numFmtId="2" fontId="0" fillId="6" borderId="11" xfId="0" applyNumberFormat="1" applyFill="1" applyBorder="1"/>
    <xf numFmtId="2" fontId="0" fillId="6" borderId="13" xfId="0" applyNumberFormat="1" applyFill="1" applyBorder="1"/>
    <xf numFmtId="2" fontId="0" fillId="6" borderId="15" xfId="0" applyNumberFormat="1" applyFill="1" applyBorder="1"/>
    <xf numFmtId="169" fontId="0" fillId="6" borderId="15" xfId="3" applyNumberFormat="1" applyFont="1" applyFill="1" applyBorder="1"/>
    <xf numFmtId="169" fontId="0" fillId="9" borderId="8" xfId="3" applyNumberFormat="1" applyFont="1" applyFill="1" applyBorder="1"/>
    <xf numFmtId="169" fontId="0" fillId="9" borderId="11" xfId="3" applyNumberFormat="1" applyFont="1" applyFill="1" applyBorder="1"/>
    <xf numFmtId="169" fontId="0" fillId="9" borderId="13" xfId="3" applyNumberFormat="1" applyFont="1" applyFill="1" applyBorder="1"/>
    <xf numFmtId="2" fontId="0" fillId="9" borderId="7" xfId="0" applyNumberFormat="1" applyFill="1" applyBorder="1"/>
    <xf numFmtId="10" fontId="0" fillId="9" borderId="11" xfId="3" applyNumberFormat="1" applyFont="1" applyFill="1" applyBorder="1"/>
    <xf numFmtId="10" fontId="0" fillId="9" borderId="13" xfId="3" applyNumberFormat="1" applyFont="1" applyFill="1" applyBorder="1"/>
    <xf numFmtId="167" fontId="0" fillId="9" borderId="4" xfId="3" applyNumberFormat="1" applyFont="1" applyFill="1" applyBorder="1"/>
    <xf numFmtId="167" fontId="0" fillId="9" borderId="13" xfId="3" applyNumberFormat="1" applyFont="1" applyFill="1" applyBorder="1"/>
    <xf numFmtId="169" fontId="0" fillId="9" borderId="7" xfId="3" applyNumberFormat="1" applyFont="1" applyFill="1" applyBorder="1"/>
    <xf numFmtId="0" fontId="0" fillId="6" borderId="15" xfId="0" applyFill="1" applyBorder="1"/>
    <xf numFmtId="167" fontId="0" fillId="6" borderId="8" xfId="0" applyNumberFormat="1" applyFill="1" applyBorder="1"/>
    <xf numFmtId="167" fontId="0" fillId="6" borderId="11" xfId="0" applyNumberFormat="1" applyFill="1" applyBorder="1"/>
    <xf numFmtId="167" fontId="0" fillId="6" borderId="13" xfId="0" applyNumberFormat="1" applyFill="1" applyBorder="1"/>
    <xf numFmtId="167" fontId="0" fillId="6" borderId="15" xfId="0" applyNumberFormat="1" applyFill="1" applyBorder="1"/>
    <xf numFmtId="167" fontId="0" fillId="6" borderId="7" xfId="0" applyNumberFormat="1" applyFill="1" applyBorder="1"/>
    <xf numFmtId="169" fontId="0" fillId="6" borderId="15" xfId="0" applyNumberFormat="1" applyFill="1" applyBorder="1"/>
    <xf numFmtId="169" fontId="0" fillId="6" borderId="4" xfId="3" applyNumberFormat="1" applyFont="1" applyFill="1" applyBorder="1"/>
    <xf numFmtId="169" fontId="0" fillId="6" borderId="11" xfId="3" applyNumberFormat="1" applyFont="1" applyFill="1" applyBorder="1"/>
    <xf numFmtId="169" fontId="0" fillId="6" borderId="13" xfId="3" applyNumberFormat="1" applyFont="1" applyFill="1" applyBorder="1"/>
    <xf numFmtId="169" fontId="0" fillId="6" borderId="7" xfId="3" applyNumberFormat="1" applyFont="1" applyFill="1" applyBorder="1"/>
    <xf numFmtId="2" fontId="0" fillId="6" borderId="7" xfId="0" applyNumberFormat="1" applyFill="1" applyBorder="1"/>
    <xf numFmtId="0" fontId="0" fillId="0" borderId="2" xfId="0" applyBorder="1"/>
    <xf numFmtId="0" fontId="0" fillId="0" borderId="3" xfId="0" applyBorder="1"/>
    <xf numFmtId="44" fontId="6" fillId="6" borderId="3" xfId="0" applyNumberFormat="1" applyFont="1" applyFill="1" applyBorder="1"/>
    <xf numFmtId="44" fontId="6" fillId="6" borderId="4" xfId="0" applyNumberFormat="1" applyFont="1" applyFill="1" applyBorder="1"/>
    <xf numFmtId="44" fontId="6" fillId="6" borderId="5" xfId="0" applyNumberFormat="1" applyFont="1" applyFill="1" applyBorder="1"/>
    <xf numFmtId="44" fontId="6" fillId="6" borderId="7" xfId="0" applyNumberFormat="1" applyFont="1" applyFill="1" applyBorder="1"/>
    <xf numFmtId="167" fontId="0" fillId="6" borderId="4" xfId="0" applyNumberFormat="1" applyFill="1" applyBorder="1"/>
    <xf numFmtId="0" fontId="0" fillId="10" borderId="14" xfId="0" applyFill="1" applyBorder="1"/>
    <xf numFmtId="0" fontId="0" fillId="10" borderId="9" xfId="0" applyFill="1" applyBorder="1"/>
    <xf numFmtId="0" fontId="3" fillId="10" borderId="9" xfId="0" applyFont="1" applyFill="1" applyBorder="1"/>
    <xf numFmtId="0" fontId="0" fillId="10" borderId="10" xfId="0" applyFill="1" applyBorder="1"/>
    <xf numFmtId="0" fontId="0" fillId="3" borderId="14" xfId="0" applyFill="1" applyBorder="1"/>
    <xf numFmtId="0" fontId="3" fillId="3" borderId="1" xfId="0" applyFont="1" applyFill="1" applyBorder="1"/>
    <xf numFmtId="0" fontId="3" fillId="3" borderId="0" xfId="0" applyFont="1" applyFill="1" applyBorder="1"/>
    <xf numFmtId="0" fontId="3" fillId="3" borderId="0" xfId="0" applyFont="1" applyFill="1"/>
    <xf numFmtId="164" fontId="3" fillId="3" borderId="0" xfId="2" applyFont="1" applyFill="1"/>
    <xf numFmtId="0" fontId="3" fillId="3" borderId="0" xfId="0" applyFont="1" applyFill="1" applyAlignment="1">
      <alignment horizontal="right"/>
    </xf>
    <xf numFmtId="0" fontId="26" fillId="3" borderId="0" xfId="0" applyFont="1" applyFill="1"/>
    <xf numFmtId="0" fontId="26" fillId="3" borderId="0" xfId="0" applyFont="1" applyFill="1" applyAlignment="1">
      <alignment horizontal="right"/>
    </xf>
    <xf numFmtId="0" fontId="3" fillId="3" borderId="5" xfId="0" applyFont="1" applyFill="1" applyBorder="1" applyAlignment="1">
      <alignment horizontal="right"/>
    </xf>
    <xf numFmtId="0" fontId="30" fillId="3" borderId="5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right"/>
    </xf>
    <xf numFmtId="0" fontId="30" fillId="3" borderId="0" xfId="0" applyFont="1" applyFill="1" applyAlignment="1">
      <alignment horizontal="right"/>
    </xf>
    <xf numFmtId="0" fontId="3" fillId="3" borderId="1" xfId="0" applyFont="1" applyFill="1" applyBorder="1" applyAlignment="1">
      <alignment horizontal="right"/>
    </xf>
    <xf numFmtId="0" fontId="28" fillId="3" borderId="0" xfId="0" applyFont="1" applyFill="1" applyBorder="1" applyAlignment="1">
      <alignment horizontal="right"/>
    </xf>
    <xf numFmtId="0" fontId="28" fillId="3" borderId="0" xfId="0" applyFont="1" applyFill="1" applyAlignment="1">
      <alignment horizontal="right"/>
    </xf>
    <xf numFmtId="0" fontId="28" fillId="3" borderId="4" xfId="0" applyFont="1" applyFill="1" applyBorder="1" applyAlignment="1">
      <alignment horizontal="right"/>
    </xf>
    <xf numFmtId="0" fontId="28" fillId="3" borderId="10" xfId="0" applyFont="1" applyFill="1" applyBorder="1" applyAlignment="1">
      <alignment horizontal="right"/>
    </xf>
    <xf numFmtId="0" fontId="28" fillId="3" borderId="14" xfId="0" applyFont="1" applyFill="1" applyBorder="1" applyAlignment="1">
      <alignment horizontal="right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6" fillId="3" borderId="13" xfId="0" applyFont="1" applyFill="1" applyBorder="1"/>
    <xf numFmtId="0" fontId="3" fillId="3" borderId="12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26" fillId="3" borderId="14" xfId="0" applyFont="1" applyFill="1" applyBorder="1"/>
    <xf numFmtId="172" fontId="26" fillId="3" borderId="9" xfId="1" applyNumberFormat="1" applyFont="1" applyFill="1" applyBorder="1"/>
    <xf numFmtId="0" fontId="26" fillId="3" borderId="9" xfId="0" applyFont="1" applyFill="1" applyBorder="1"/>
    <xf numFmtId="0" fontId="26" fillId="3" borderId="10" xfId="0" applyFont="1" applyFill="1" applyBorder="1"/>
    <xf numFmtId="0" fontId="3" fillId="3" borderId="4" xfId="0" applyFont="1" applyFill="1" applyBorder="1" applyAlignment="1">
      <alignment horizontal="right"/>
    </xf>
    <xf numFmtId="0" fontId="3" fillId="3" borderId="13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26" fillId="3" borderId="0" xfId="0" quotePrefix="1" applyFont="1" applyFill="1" applyAlignment="1">
      <alignment horizontal="right"/>
    </xf>
    <xf numFmtId="0" fontId="26" fillId="3" borderId="13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10" fillId="3" borderId="11" xfId="0" applyFont="1" applyFill="1" applyBorder="1" applyAlignment="1">
      <alignment horizontal="right"/>
    </xf>
    <xf numFmtId="0" fontId="27" fillId="3" borderId="5" xfId="0" applyFont="1" applyFill="1" applyBorder="1"/>
    <xf numFmtId="0" fontId="26" fillId="3" borderId="5" xfId="0" applyFont="1" applyFill="1" applyBorder="1"/>
    <xf numFmtId="0" fontId="27" fillId="3" borderId="10" xfId="0" applyFont="1" applyFill="1" applyBorder="1"/>
    <xf numFmtId="0" fontId="17" fillId="3" borderId="0" xfId="0" applyFont="1" applyFill="1"/>
    <xf numFmtId="0" fontId="26" fillId="3" borderId="14" xfId="0" applyFont="1" applyFill="1" applyBorder="1" applyAlignment="1">
      <alignment horizontal="left"/>
    </xf>
    <xf numFmtId="0" fontId="26" fillId="3" borderId="9" xfId="0" applyFont="1" applyFill="1" applyBorder="1" applyAlignment="1">
      <alignment horizontal="right"/>
    </xf>
    <xf numFmtId="0" fontId="26" fillId="3" borderId="10" xfId="0" applyFont="1" applyFill="1" applyBorder="1" applyAlignment="1">
      <alignment horizontal="right"/>
    </xf>
    <xf numFmtId="0" fontId="0" fillId="3" borderId="13" xfId="0" applyFill="1" applyBorder="1"/>
    <xf numFmtId="0" fontId="26" fillId="3" borderId="14" xfId="0" applyFont="1" applyFill="1" applyBorder="1" applyAlignment="1">
      <alignment horizontal="right"/>
    </xf>
    <xf numFmtId="10" fontId="26" fillId="3" borderId="10" xfId="24" applyNumberFormat="1" applyFont="1" applyFill="1" applyBorder="1" applyAlignment="1">
      <alignment horizontal="left"/>
    </xf>
    <xf numFmtId="0" fontId="31" fillId="3" borderId="0" xfId="0" applyFont="1" applyFill="1"/>
    <xf numFmtId="0" fontId="0" fillId="0" borderId="0" xfId="0" applyFont="1"/>
    <xf numFmtId="0" fontId="17" fillId="3" borderId="13" xfId="0" applyFont="1" applyFill="1" applyBorder="1"/>
    <xf numFmtId="0" fontId="17" fillId="3" borderId="5" xfId="0" applyFont="1" applyFill="1" applyBorder="1"/>
    <xf numFmtId="0" fontId="17" fillId="3" borderId="7" xfId="0" applyFont="1" applyFill="1" applyBorder="1"/>
    <xf numFmtId="0" fontId="0" fillId="0" borderId="5" xfId="0" applyFont="1" applyBorder="1"/>
    <xf numFmtId="0" fontId="0" fillId="0" borderId="13" xfId="0" applyFont="1" applyBorder="1"/>
    <xf numFmtId="0" fontId="0" fillId="0" borderId="7" xfId="0" applyFont="1" applyBorder="1"/>
    <xf numFmtId="0" fontId="0" fillId="0" borderId="4" xfId="0" applyFont="1" applyBorder="1"/>
    <xf numFmtId="0" fontId="0" fillId="0" borderId="8" xfId="0" applyFont="1" applyBorder="1"/>
    <xf numFmtId="0" fontId="0" fillId="0" borderId="11" xfId="0" applyFont="1" applyBorder="1"/>
    <xf numFmtId="0" fontId="0" fillId="0" borderId="15" xfId="0" applyFont="1" applyBorder="1"/>
    <xf numFmtId="0" fontId="4" fillId="0" borderId="4" xfId="0" applyFont="1" applyBorder="1"/>
    <xf numFmtId="0" fontId="4" fillId="0" borderId="13" xfId="0" applyFont="1" applyBorder="1"/>
    <xf numFmtId="10" fontId="4" fillId="0" borderId="13" xfId="0" applyNumberFormat="1" applyFont="1" applyBorder="1"/>
    <xf numFmtId="0" fontId="0" fillId="0" borderId="0" xfId="0" applyNumberFormat="1" applyBorder="1"/>
    <xf numFmtId="9" fontId="4" fillId="0" borderId="13" xfId="0" applyNumberFormat="1" applyFont="1" applyBorder="1"/>
    <xf numFmtId="9" fontId="0" fillId="0" borderId="5" xfId="0" applyNumberFormat="1" applyBorder="1"/>
    <xf numFmtId="9" fontId="4" fillId="0" borderId="7" xfId="0" applyNumberFormat="1" applyFont="1" applyBorder="1"/>
    <xf numFmtId="0" fontId="4" fillId="0" borderId="8" xfId="0" applyFont="1" applyBorder="1"/>
    <xf numFmtId="0" fontId="4" fillId="0" borderId="11" xfId="0" applyFont="1" applyBorder="1"/>
    <xf numFmtId="9" fontId="4" fillId="0" borderId="11" xfId="0" applyNumberFormat="1" applyFont="1" applyBorder="1"/>
    <xf numFmtId="10" fontId="4" fillId="0" borderId="11" xfId="0" applyNumberFormat="1" applyFont="1" applyBorder="1"/>
    <xf numFmtId="9" fontId="4" fillId="0" borderId="15" xfId="0" applyNumberFormat="1" applyFont="1" applyBorder="1"/>
    <xf numFmtId="0" fontId="0" fillId="0" borderId="11" xfId="0" applyNumberFormat="1" applyBorder="1"/>
    <xf numFmtId="9" fontId="0" fillId="0" borderId="15" xfId="0" applyNumberFormat="1" applyBorder="1"/>
    <xf numFmtId="2" fontId="0" fillId="0" borderId="11" xfId="0" applyNumberFormat="1" applyBorder="1"/>
    <xf numFmtId="0" fontId="0" fillId="0" borderId="14" xfId="0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0" xfId="0" applyFill="1" applyBorder="1"/>
    <xf numFmtId="0" fontId="0" fillId="5" borderId="18" xfId="0" applyFill="1" applyBorder="1" applyAlignment="1">
      <alignment horizontal="right"/>
    </xf>
    <xf numFmtId="0" fontId="0" fillId="5" borderId="0" xfId="0" applyFill="1" applyBorder="1" applyAlignment="1">
      <alignment horizontal="center"/>
    </xf>
    <xf numFmtId="0" fontId="22" fillId="5" borderId="18" xfId="0" applyFont="1" applyFill="1" applyBorder="1"/>
    <xf numFmtId="0" fontId="22" fillId="5" borderId="0" xfId="0" applyFont="1" applyFill="1" applyBorder="1" applyAlignment="1">
      <alignment horizontal="right"/>
    </xf>
    <xf numFmtId="0" fontId="22" fillId="5" borderId="0" xfId="0" applyFont="1" applyFill="1" applyBorder="1" applyAlignment="1">
      <alignment horizontal="center"/>
    </xf>
    <xf numFmtId="9" fontId="0" fillId="5" borderId="0" xfId="0" applyNumberFormat="1" applyFill="1" applyBorder="1"/>
    <xf numFmtId="175" fontId="0" fillId="5" borderId="0" xfId="0" applyNumberFormat="1" applyFill="1" applyBorder="1"/>
    <xf numFmtId="0" fontId="12" fillId="5" borderId="18" xfId="0" applyFont="1" applyFill="1" applyBorder="1"/>
    <xf numFmtId="0" fontId="12" fillId="5" borderId="0" xfId="0" applyFon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171" fontId="0" fillId="5" borderId="22" xfId="0" applyNumberFormat="1" applyFill="1" applyBorder="1" applyAlignment="1">
      <alignment horizontal="center"/>
    </xf>
    <xf numFmtId="171" fontId="0" fillId="5" borderId="23" xfId="0" applyNumberFormat="1" applyFill="1" applyBorder="1" applyAlignment="1">
      <alignment horizontal="center"/>
    </xf>
    <xf numFmtId="167" fontId="0" fillId="5" borderId="0" xfId="0" applyNumberFormat="1" applyFill="1" applyBorder="1" applyAlignment="1">
      <alignment horizontal="center"/>
    </xf>
    <xf numFmtId="171" fontId="0" fillId="5" borderId="0" xfId="0" applyNumberFormat="1" applyFill="1" applyBorder="1" applyAlignment="1">
      <alignment horizontal="center"/>
    </xf>
    <xf numFmtId="171" fontId="12" fillId="5" borderId="22" xfId="0" applyNumberFormat="1" applyFont="1" applyFill="1" applyBorder="1" applyAlignment="1">
      <alignment horizontal="center"/>
    </xf>
    <xf numFmtId="171" fontId="12" fillId="5" borderId="23" xfId="0" applyNumberFormat="1" applyFont="1" applyFill="1" applyBorder="1" applyAlignment="1">
      <alignment horizontal="center"/>
    </xf>
    <xf numFmtId="171" fontId="0" fillId="5" borderId="25" xfId="0" applyNumberFormat="1" applyFill="1" applyBorder="1" applyAlignment="1">
      <alignment horizontal="center"/>
    </xf>
    <xf numFmtId="171" fontId="6" fillId="5" borderId="22" xfId="0" applyNumberFormat="1" applyFont="1" applyFill="1" applyBorder="1" applyAlignment="1">
      <alignment horizontal="center"/>
    </xf>
    <xf numFmtId="171" fontId="6" fillId="5" borderId="23" xfId="0" applyNumberFormat="1" applyFont="1" applyFill="1" applyBorder="1" applyAlignment="1">
      <alignment horizontal="center"/>
    </xf>
    <xf numFmtId="0" fontId="6" fillId="5" borderId="18" xfId="0" applyFont="1" applyFill="1" applyBorder="1"/>
    <xf numFmtId="0" fontId="6" fillId="5" borderId="0" xfId="0" applyFont="1" applyFill="1" applyBorder="1" applyAlignment="1">
      <alignment horizontal="right"/>
    </xf>
    <xf numFmtId="174" fontId="32" fillId="5" borderId="0" xfId="0" applyNumberFormat="1" applyFont="1" applyFill="1" applyBorder="1"/>
    <xf numFmtId="9" fontId="32" fillId="5" borderId="0" xfId="0" applyNumberFormat="1" applyFont="1" applyFill="1" applyBorder="1"/>
    <xf numFmtId="175" fontId="32" fillId="5" borderId="0" xfId="0" applyNumberFormat="1" applyFont="1" applyFill="1" applyBorder="1"/>
    <xf numFmtId="171" fontId="32" fillId="5" borderId="22" xfId="0" applyNumberFormat="1" applyFont="1" applyFill="1" applyBorder="1" applyAlignment="1">
      <alignment horizontal="center"/>
    </xf>
    <xf numFmtId="171" fontId="32" fillId="5" borderId="23" xfId="0" applyNumberFormat="1" applyFont="1" applyFill="1" applyBorder="1" applyAlignment="1">
      <alignment horizontal="center"/>
    </xf>
    <xf numFmtId="171" fontId="32" fillId="5" borderId="24" xfId="0" applyNumberFormat="1" applyFont="1" applyFill="1" applyBorder="1" applyAlignment="1">
      <alignment horizontal="center"/>
    </xf>
    <xf numFmtId="167" fontId="32" fillId="5" borderId="0" xfId="0" applyNumberFormat="1" applyFont="1" applyFill="1" applyBorder="1" applyAlignment="1">
      <alignment horizontal="center"/>
    </xf>
    <xf numFmtId="171" fontId="32" fillId="5" borderId="0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2" fillId="5" borderId="19" xfId="0" applyFont="1" applyFill="1" applyBorder="1" applyAlignment="1">
      <alignment horizontal="center"/>
    </xf>
    <xf numFmtId="0" fontId="22" fillId="5" borderId="20" xfId="0" applyFont="1" applyFill="1" applyBorder="1" applyAlignment="1">
      <alignment horizontal="center"/>
    </xf>
    <xf numFmtId="0" fontId="22" fillId="5" borderId="21" xfId="0" applyFont="1" applyFill="1" applyBorder="1" applyAlignment="1">
      <alignment horizontal="center"/>
    </xf>
    <xf numFmtId="164" fontId="12" fillId="5" borderId="15" xfId="2" applyFont="1" applyFill="1" applyBorder="1"/>
    <xf numFmtId="164" fontId="12" fillId="5" borderId="11" xfId="2" applyFont="1" applyFill="1" applyBorder="1"/>
    <xf numFmtId="0" fontId="0" fillId="5" borderId="2" xfId="0" applyFill="1" applyBorder="1"/>
    <xf numFmtId="177" fontId="0" fillId="5" borderId="3" xfId="2" applyNumberFormat="1" applyFont="1" applyFill="1" applyBorder="1" applyAlignment="1">
      <alignment horizontal="center"/>
    </xf>
    <xf numFmtId="178" fontId="0" fillId="5" borderId="3" xfId="0" applyNumberFormat="1" applyFill="1" applyBorder="1" applyAlignment="1">
      <alignment horizontal="right"/>
    </xf>
    <xf numFmtId="171" fontId="0" fillId="5" borderId="3" xfId="0" applyNumberFormat="1" applyFill="1" applyBorder="1" applyAlignment="1">
      <alignment horizontal="left"/>
    </xf>
    <xf numFmtId="179" fontId="0" fillId="5" borderId="33" xfId="0" applyNumberFormat="1" applyFill="1" applyBorder="1"/>
    <xf numFmtId="175" fontId="0" fillId="5" borderId="34" xfId="0" applyNumberFormat="1" applyFill="1" applyBorder="1" applyAlignment="1">
      <alignment horizontal="left"/>
    </xf>
    <xf numFmtId="38" fontId="0" fillId="5" borderId="3" xfId="0" applyNumberFormat="1" applyFill="1" applyBorder="1" applyAlignment="1">
      <alignment horizontal="center"/>
    </xf>
    <xf numFmtId="179" fontId="0" fillId="5" borderId="3" xfId="0" applyNumberFormat="1" applyFill="1" applyBorder="1"/>
    <xf numFmtId="175" fontId="0" fillId="5" borderId="3" xfId="0" applyNumberFormat="1" applyFill="1" applyBorder="1" applyAlignment="1">
      <alignment horizontal="center"/>
    </xf>
    <xf numFmtId="176" fontId="0" fillId="5" borderId="3" xfId="0" applyNumberFormat="1" applyFill="1" applyBorder="1" applyAlignment="1">
      <alignment horizontal="center"/>
    </xf>
    <xf numFmtId="180" fontId="0" fillId="5" borderId="33" xfId="0" applyNumberFormat="1" applyFill="1" applyBorder="1"/>
    <xf numFmtId="174" fontId="0" fillId="5" borderId="35" xfId="0" applyNumberFormat="1" applyFill="1" applyBorder="1" applyAlignment="1">
      <alignment horizontal="left"/>
    </xf>
    <xf numFmtId="0" fontId="0" fillId="5" borderId="12" xfId="0" applyFill="1" applyBorder="1"/>
    <xf numFmtId="177" fontId="0" fillId="5" borderId="0" xfId="2" applyNumberFormat="1" applyFont="1" applyFill="1" applyBorder="1" applyAlignment="1">
      <alignment horizontal="center"/>
    </xf>
    <xf numFmtId="178" fontId="0" fillId="5" borderId="0" xfId="0" applyNumberFormat="1" applyFill="1" applyBorder="1" applyAlignment="1">
      <alignment horizontal="right"/>
    </xf>
    <xf numFmtId="171" fontId="0" fillId="5" borderId="0" xfId="0" applyNumberFormat="1" applyFill="1" applyBorder="1" applyAlignment="1">
      <alignment horizontal="left"/>
    </xf>
    <xf numFmtId="179" fontId="0" fillId="5" borderId="0" xfId="0" applyNumberFormat="1" applyFill="1" applyBorder="1"/>
    <xf numFmtId="175" fontId="0" fillId="5" borderId="0" xfId="0" applyNumberFormat="1" applyFill="1" applyBorder="1" applyAlignment="1">
      <alignment horizontal="left"/>
    </xf>
    <xf numFmtId="38" fontId="0" fillId="5" borderId="0" xfId="0" applyNumberFormat="1" applyFill="1" applyBorder="1" applyAlignment="1">
      <alignment horizontal="center"/>
    </xf>
    <xf numFmtId="175" fontId="0" fillId="5" borderId="0" xfId="0" applyNumberFormat="1" applyFill="1" applyBorder="1" applyAlignment="1">
      <alignment horizontal="center"/>
    </xf>
    <xf numFmtId="176" fontId="0" fillId="5" borderId="0" xfId="0" applyNumberFormat="1" applyFill="1" applyBorder="1" applyAlignment="1">
      <alignment horizontal="center"/>
    </xf>
    <xf numFmtId="180" fontId="0" fillId="5" borderId="25" xfId="0" applyNumberFormat="1" applyFill="1" applyBorder="1"/>
    <xf numFmtId="174" fontId="0" fillId="5" borderId="36" xfId="0" applyNumberFormat="1" applyFill="1" applyBorder="1" applyAlignment="1">
      <alignment horizontal="left"/>
    </xf>
    <xf numFmtId="0" fontId="0" fillId="5" borderId="6" xfId="0" applyFill="1" applyBorder="1"/>
    <xf numFmtId="177" fontId="0" fillId="5" borderId="5" xfId="2" applyNumberFormat="1" applyFont="1" applyFill="1" applyBorder="1" applyAlignment="1">
      <alignment horizontal="center"/>
    </xf>
    <xf numFmtId="178" fontId="0" fillId="5" borderId="5" xfId="0" applyNumberFormat="1" applyFill="1" applyBorder="1" applyAlignment="1">
      <alignment horizontal="right"/>
    </xf>
    <xf numFmtId="171" fontId="0" fillId="5" borderId="5" xfId="0" applyNumberFormat="1" applyFill="1" applyBorder="1" applyAlignment="1">
      <alignment horizontal="left"/>
    </xf>
    <xf numFmtId="179" fontId="0" fillId="5" borderId="5" xfId="0" applyNumberFormat="1" applyFill="1" applyBorder="1"/>
    <xf numFmtId="175" fontId="0" fillId="5" borderId="5" xfId="0" applyNumberFormat="1" applyFill="1" applyBorder="1"/>
    <xf numFmtId="0" fontId="0" fillId="5" borderId="5" xfId="0" applyFill="1" applyBorder="1" applyAlignment="1">
      <alignment horizontal="center"/>
    </xf>
    <xf numFmtId="177" fontId="0" fillId="5" borderId="7" xfId="2" applyNumberFormat="1" applyFont="1" applyFill="1" applyBorder="1" applyAlignment="1">
      <alignment horizontal="center"/>
    </xf>
    <xf numFmtId="179" fontId="0" fillId="5" borderId="25" xfId="0" applyNumberFormat="1" applyFill="1" applyBorder="1"/>
    <xf numFmtId="175" fontId="0" fillId="5" borderId="26" xfId="0" applyNumberFormat="1" applyFill="1" applyBorder="1" applyAlignment="1">
      <alignment horizontal="left"/>
    </xf>
    <xf numFmtId="174" fontId="0" fillId="5" borderId="0" xfId="0" applyNumberFormat="1" applyFill="1" applyBorder="1" applyAlignment="1">
      <alignment horizontal="center"/>
    </xf>
    <xf numFmtId="164" fontId="0" fillId="5" borderId="3" xfId="2" applyFont="1" applyFill="1" applyBorder="1" applyAlignment="1">
      <alignment horizontal="center"/>
    </xf>
    <xf numFmtId="174" fontId="0" fillId="5" borderId="34" xfId="0" applyNumberFormat="1" applyFill="1" applyBorder="1" applyAlignment="1">
      <alignment horizontal="left"/>
    </xf>
    <xf numFmtId="175" fontId="0" fillId="5" borderId="35" xfId="0" applyNumberFormat="1" applyFill="1" applyBorder="1"/>
    <xf numFmtId="164" fontId="0" fillId="5" borderId="0" xfId="2" applyFont="1" applyFill="1" applyBorder="1" applyAlignment="1">
      <alignment horizontal="center"/>
    </xf>
    <xf numFmtId="174" fontId="0" fillId="5" borderId="26" xfId="0" applyNumberFormat="1" applyFill="1" applyBorder="1" applyAlignment="1">
      <alignment horizontal="left"/>
    </xf>
    <xf numFmtId="175" fontId="0" fillId="5" borderId="36" xfId="0" applyNumberFormat="1" applyFill="1" applyBorder="1"/>
    <xf numFmtId="164" fontId="33" fillId="5" borderId="11" xfId="2" applyFont="1" applyFill="1" applyBorder="1"/>
    <xf numFmtId="164" fontId="33" fillId="5" borderId="15" xfId="2" applyFont="1" applyFill="1" applyBorder="1"/>
    <xf numFmtId="164" fontId="32" fillId="5" borderId="8" xfId="2" applyFont="1" applyFill="1" applyBorder="1"/>
    <xf numFmtId="164" fontId="6" fillId="5" borderId="8" xfId="2" applyFont="1" applyFill="1" applyBorder="1"/>
    <xf numFmtId="10" fontId="0" fillId="0" borderId="12" xfId="3" applyNumberFormat="1" applyFont="1" applyBorder="1"/>
    <xf numFmtId="10" fontId="0" fillId="0" borderId="11" xfId="3" applyNumberFormat="1" applyFont="1" applyBorder="1"/>
    <xf numFmtId="10" fontId="0" fillId="0" borderId="15" xfId="3" applyNumberFormat="1" applyFont="1" applyBorder="1"/>
    <xf numFmtId="10" fontId="0" fillId="0" borderId="2" xfId="3" applyNumberFormat="1" applyFont="1" applyBorder="1"/>
    <xf numFmtId="10" fontId="0" fillId="0" borderId="3" xfId="3" applyNumberFormat="1" applyFont="1" applyBorder="1"/>
    <xf numFmtId="10" fontId="0" fillId="9" borderId="4" xfId="0" applyNumberFormat="1" applyFill="1" applyBorder="1"/>
    <xf numFmtId="10" fontId="0" fillId="0" borderId="0" xfId="3" applyNumberFormat="1" applyFont="1" applyBorder="1"/>
    <xf numFmtId="10" fontId="0" fillId="9" borderId="13" xfId="0" applyNumberFormat="1" applyFill="1" applyBorder="1"/>
    <xf numFmtId="10" fontId="0" fillId="0" borderId="6" xfId="3" applyNumberFormat="1" applyFont="1" applyBorder="1"/>
    <xf numFmtId="10" fontId="0" fillId="9" borderId="7" xfId="0" applyNumberFormat="1" applyFill="1" applyBorder="1"/>
    <xf numFmtId="0" fontId="3" fillId="3" borderId="9" xfId="0" applyFont="1" applyFill="1" applyBorder="1" applyAlignment="1">
      <alignment horizontal="right"/>
    </xf>
    <xf numFmtId="0" fontId="0" fillId="3" borderId="10" xfId="0" applyFill="1" applyBorder="1"/>
    <xf numFmtId="10" fontId="0" fillId="0" borderId="8" xfId="3" applyNumberFormat="1" applyFont="1" applyBorder="1"/>
    <xf numFmtId="10" fontId="0" fillId="9" borderId="8" xfId="0" applyNumberFormat="1" applyFill="1" applyBorder="1"/>
    <xf numFmtId="10" fontId="0" fillId="9" borderId="11" xfId="0" applyNumberFormat="1" applyFill="1" applyBorder="1"/>
    <xf numFmtId="10" fontId="0" fillId="9" borderId="15" xfId="0" applyNumberFormat="1" applyFill="1" applyBorder="1"/>
    <xf numFmtId="0" fontId="3" fillId="3" borderId="10" xfId="0" applyFont="1" applyFill="1" applyBorder="1"/>
    <xf numFmtId="0" fontId="3" fillId="3" borderId="14" xfId="0" applyFont="1" applyFill="1" applyBorder="1" applyAlignment="1">
      <alignment horizontal="right"/>
    </xf>
    <xf numFmtId="167" fontId="34" fillId="6" borderId="11" xfId="0" applyNumberFormat="1" applyFont="1" applyFill="1" applyBorder="1"/>
    <xf numFmtId="2" fontId="0" fillId="9" borderId="0" xfId="0" applyNumberFormat="1" applyFill="1" applyBorder="1"/>
    <xf numFmtId="2" fontId="0" fillId="6" borderId="0" xfId="0" applyNumberFormat="1" applyFill="1" applyBorder="1"/>
    <xf numFmtId="169" fontId="0" fillId="9" borderId="0" xfId="3" applyNumberFormat="1" applyFont="1" applyFill="1" applyBorder="1"/>
    <xf numFmtId="0" fontId="0" fillId="3" borderId="0" xfId="0" applyFill="1" applyAlignment="1">
      <alignment horizontal="right"/>
    </xf>
    <xf numFmtId="0" fontId="0" fillId="5" borderId="0" xfId="0" applyFill="1" applyAlignment="1">
      <alignment horizontal="right"/>
    </xf>
    <xf numFmtId="10" fontId="0" fillId="5" borderId="0" xfId="0" applyNumberFormat="1" applyFill="1" applyAlignment="1">
      <alignment horizontal="center"/>
    </xf>
    <xf numFmtId="0" fontId="7" fillId="5" borderId="0" xfId="0" applyFont="1" applyFill="1"/>
    <xf numFmtId="10" fontId="8" fillId="5" borderId="0" xfId="0" applyNumberFormat="1" applyFont="1" applyFill="1" applyAlignment="1">
      <alignment horizontal="center"/>
    </xf>
    <xf numFmtId="0" fontId="9" fillId="5" borderId="0" xfId="4" applyFill="1"/>
    <xf numFmtId="0" fontId="0" fillId="5" borderId="7" xfId="0" applyFill="1" applyBorder="1"/>
    <xf numFmtId="0" fontId="0" fillId="5" borderId="5" xfId="0" applyFill="1" applyBorder="1"/>
    <xf numFmtId="0" fontId="0" fillId="5" borderId="10" xfId="0" applyFill="1" applyBorder="1" applyAlignment="1">
      <alignment horizontal="right"/>
    </xf>
    <xf numFmtId="0" fontId="3" fillId="3" borderId="0" xfId="0" applyNumberFormat="1" applyFont="1" applyFill="1"/>
    <xf numFmtId="0" fontId="17" fillId="3" borderId="0" xfId="0" applyNumberFormat="1" applyFont="1" applyFill="1"/>
    <xf numFmtId="0" fontId="0" fillId="3" borderId="5" xfId="0" applyNumberFormat="1" applyFill="1" applyBorder="1"/>
    <xf numFmtId="0" fontId="29" fillId="3" borderId="1" xfId="0" applyNumberFormat="1" applyFont="1" applyFill="1" applyBorder="1"/>
    <xf numFmtId="0" fontId="29" fillId="3" borderId="1" xfId="0" applyNumberFormat="1" applyFont="1" applyFill="1" applyBorder="1" applyAlignment="1">
      <alignment horizontal="right"/>
    </xf>
    <xf numFmtId="0" fontId="3" fillId="3" borderId="8" xfId="0" applyNumberFormat="1" applyFont="1" applyFill="1" applyBorder="1" applyAlignment="1">
      <alignment horizontal="right"/>
    </xf>
    <xf numFmtId="0" fontId="0" fillId="0" borderId="8" xfId="2" applyNumberFormat="1" applyFont="1" applyBorder="1"/>
    <xf numFmtId="0" fontId="0" fillId="2" borderId="8" xfId="2" applyNumberFormat="1" applyFont="1" applyFill="1" applyBorder="1"/>
    <xf numFmtId="0" fontId="0" fillId="2" borderId="4" xfId="2" applyNumberFormat="1" applyFont="1" applyFill="1" applyBorder="1"/>
    <xf numFmtId="0" fontId="3" fillId="3" borderId="11" xfId="0" applyNumberFormat="1" applyFont="1" applyFill="1" applyBorder="1" applyAlignment="1">
      <alignment horizontal="right"/>
    </xf>
    <xf numFmtId="0" fontId="0" fillId="0" borderId="11" xfId="2" applyNumberFormat="1" applyFont="1" applyBorder="1"/>
    <xf numFmtId="0" fontId="0" fillId="2" borderId="11" xfId="2" applyNumberFormat="1" applyFont="1" applyFill="1" applyBorder="1"/>
    <xf numFmtId="0" fontId="0" fillId="2" borderId="13" xfId="2" applyNumberFormat="1" applyFont="1" applyFill="1" applyBorder="1"/>
    <xf numFmtId="0" fontId="3" fillId="3" borderId="15" xfId="0" applyNumberFormat="1" applyFont="1" applyFill="1" applyBorder="1" applyAlignment="1">
      <alignment horizontal="right"/>
    </xf>
    <xf numFmtId="0" fontId="0" fillId="0" borderId="15" xfId="2" applyNumberFormat="1" applyFont="1" applyBorder="1"/>
    <xf numFmtId="0" fontId="0" fillId="0" borderId="7" xfId="2" applyNumberFormat="1" applyFont="1" applyBorder="1"/>
    <xf numFmtId="0" fontId="0" fillId="2" borderId="15" xfId="2" applyNumberFormat="1" applyFont="1" applyFill="1" applyBorder="1"/>
    <xf numFmtId="0" fontId="0" fillId="0" borderId="15" xfId="0" applyNumberFormat="1" applyBorder="1"/>
    <xf numFmtId="0" fontId="0" fillId="0" borderId="0" xfId="0" applyNumberFormat="1"/>
    <xf numFmtId="0" fontId="0" fillId="3" borderId="0" xfId="0" applyNumberFormat="1" applyFill="1"/>
    <xf numFmtId="0" fontId="16" fillId="0" borderId="0" xfId="0" applyNumberFormat="1" applyFont="1"/>
    <xf numFmtId="0" fontId="0" fillId="0" borderId="2" xfId="0" applyNumberFormat="1" applyBorder="1"/>
    <xf numFmtId="0" fontId="0" fillId="0" borderId="3" xfId="0" applyNumberFormat="1" applyBorder="1"/>
    <xf numFmtId="0" fontId="0" fillId="6" borderId="3" xfId="0" applyNumberFormat="1" applyFill="1" applyBorder="1"/>
    <xf numFmtId="0" fontId="0" fillId="6" borderId="4" xfId="0" applyNumberFormat="1" applyFill="1" applyBorder="1"/>
    <xf numFmtId="0" fontId="0" fillId="0" borderId="12" xfId="0" applyNumberFormat="1" applyBorder="1"/>
    <xf numFmtId="0" fontId="0" fillId="6" borderId="0" xfId="0" applyNumberFormat="1" applyFill="1" applyBorder="1"/>
    <xf numFmtId="0" fontId="0" fillId="6" borderId="13" xfId="0" applyNumberFormat="1" applyFill="1" applyBorder="1"/>
    <xf numFmtId="0" fontId="0" fillId="7" borderId="2" xfId="0" applyNumberFormat="1" applyFill="1" applyBorder="1"/>
    <xf numFmtId="0" fontId="0" fillId="7" borderId="4" xfId="0" applyNumberFormat="1" applyFill="1" applyBorder="1"/>
    <xf numFmtId="0" fontId="0" fillId="7" borderId="12" xfId="0" applyNumberFormat="1" applyFill="1" applyBorder="1"/>
    <xf numFmtId="0" fontId="0" fillId="7" borderId="13" xfId="0" applyNumberFormat="1" applyFill="1" applyBorder="1"/>
    <xf numFmtId="0" fontId="0" fillId="0" borderId="6" xfId="0" applyNumberFormat="1" applyBorder="1"/>
    <xf numFmtId="0" fontId="0" fillId="0" borderId="5" xfId="0" applyNumberFormat="1" applyBorder="1"/>
    <xf numFmtId="0" fontId="0" fillId="6" borderId="5" xfId="0" applyNumberFormat="1" applyFill="1" applyBorder="1"/>
    <xf numFmtId="0" fontId="0" fillId="6" borderId="7" xfId="0" applyNumberFormat="1" applyFill="1" applyBorder="1"/>
    <xf numFmtId="0" fontId="0" fillId="7" borderId="6" xfId="0" applyNumberFormat="1" applyFill="1" applyBorder="1"/>
    <xf numFmtId="0" fontId="0" fillId="7" borderId="7" xfId="0" applyNumberFormat="1" applyFill="1" applyBorder="1"/>
    <xf numFmtId="0" fontId="0" fillId="0" borderId="4" xfId="0" applyNumberFormat="1" applyBorder="1"/>
    <xf numFmtId="0" fontId="0" fillId="6" borderId="2" xfId="0" applyNumberFormat="1" applyFill="1" applyBorder="1"/>
    <xf numFmtId="0" fontId="0" fillId="0" borderId="8" xfId="0" applyNumberFormat="1" applyBorder="1"/>
    <xf numFmtId="0" fontId="0" fillId="0" borderId="13" xfId="0" applyNumberFormat="1" applyBorder="1"/>
    <xf numFmtId="0" fontId="0" fillId="6" borderId="12" xfId="0" applyNumberFormat="1" applyFill="1" applyBorder="1"/>
    <xf numFmtId="0" fontId="0" fillId="0" borderId="7" xfId="0" applyNumberFormat="1" applyBorder="1"/>
    <xf numFmtId="0" fontId="0" fillId="6" borderId="6" xfId="0" applyNumberFormat="1" applyFill="1" applyBorder="1"/>
    <xf numFmtId="0" fontId="35" fillId="0" borderId="0" xfId="0" applyFont="1"/>
    <xf numFmtId="0" fontId="35" fillId="0" borderId="1" xfId="0" applyFont="1" applyBorder="1"/>
    <xf numFmtId="167" fontId="35" fillId="4" borderId="1" xfId="0" applyNumberFormat="1" applyFont="1" applyFill="1" applyBorder="1"/>
    <xf numFmtId="10" fontId="35" fillId="4" borderId="1" xfId="0" applyNumberFormat="1" applyFont="1" applyFill="1" applyBorder="1"/>
    <xf numFmtId="10" fontId="35" fillId="11" borderId="1" xfId="0" applyNumberFormat="1" applyFont="1" applyFill="1" applyBorder="1"/>
    <xf numFmtId="0" fontId="35" fillId="7" borderId="10" xfId="0" applyFont="1" applyFill="1" applyBorder="1" applyAlignment="1">
      <alignment horizontal="center"/>
    </xf>
    <xf numFmtId="2" fontId="35" fillId="7" borderId="10" xfId="0" applyNumberFormat="1" applyFont="1" applyFill="1" applyBorder="1"/>
    <xf numFmtId="2" fontId="0" fillId="0" borderId="1" xfId="0" applyNumberFormat="1" applyBorder="1"/>
    <xf numFmtId="0" fontId="0" fillId="12" borderId="9" xfId="0" applyFill="1" applyBorder="1"/>
    <xf numFmtId="0" fontId="4" fillId="12" borderId="1" xfId="0" applyFont="1" applyFill="1" applyBorder="1"/>
    <xf numFmtId="0" fontId="4" fillId="12" borderId="15" xfId="0" applyFont="1" applyFill="1" applyBorder="1"/>
    <xf numFmtId="0" fontId="0" fillId="12" borderId="5" xfId="0" applyFill="1" applyBorder="1"/>
    <xf numFmtId="0" fontId="0" fillId="0" borderId="37" xfId="0" applyBorder="1"/>
    <xf numFmtId="0" fontId="0" fillId="0" borderId="38" xfId="0" applyBorder="1"/>
    <xf numFmtId="0" fontId="23" fillId="0" borderId="5" xfId="0" applyNumberFormat="1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35" fillId="0" borderId="0" xfId="0" applyFont="1" applyAlignment="1">
      <alignment horizontal="center" vertical="center"/>
    </xf>
    <xf numFmtId="0" fontId="35" fillId="11" borderId="14" xfId="0" applyFont="1" applyFill="1" applyBorder="1" applyAlignment="1">
      <alignment horizontal="center"/>
    </xf>
    <xf numFmtId="0" fontId="35" fillId="11" borderId="9" xfId="0" applyFont="1" applyFill="1" applyBorder="1" applyAlignment="1">
      <alignment horizontal="center"/>
    </xf>
    <xf numFmtId="0" fontId="35" fillId="11" borderId="10" xfId="0" applyFont="1" applyFill="1" applyBorder="1" applyAlignment="1">
      <alignment horizontal="center"/>
    </xf>
    <xf numFmtId="0" fontId="35" fillId="4" borderId="8" xfId="0" applyFont="1" applyFill="1" applyBorder="1" applyAlignment="1">
      <alignment horizontal="center" vertical="center" textRotation="90"/>
    </xf>
    <xf numFmtId="0" fontId="35" fillId="4" borderId="11" xfId="0" applyFont="1" applyFill="1" applyBorder="1" applyAlignment="1">
      <alignment horizontal="center" vertical="center" textRotation="90"/>
    </xf>
    <xf numFmtId="0" fontId="35" fillId="4" borderId="15" xfId="0" applyFont="1" applyFill="1" applyBorder="1" applyAlignment="1">
      <alignment horizontal="center" vertical="center" textRotation="90"/>
    </xf>
  </cellXfs>
  <cellStyles count="25">
    <cellStyle name="Comma" xfId="1" builtinId="3"/>
    <cellStyle name="Currency" xfId="2" builtinId="4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Hyperlink" xfId="4" builtinId="8"/>
    <cellStyle name="Normal" xfId="0" builtinId="0"/>
    <cellStyle name="Percent" xfId="3" builtinId="5"/>
    <cellStyle name="Percent 2" xfId="24" xr:uid="{00000000-0005-0000-0000-000018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$1</a:t>
            </a:r>
            <a:r>
              <a:rPr lang="en-US" baseline="0"/>
              <a:t> test value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3-yr</c:v>
                </c:pt>
              </c:strCache>
            </c:strRef>
          </c:tx>
          <c:invertIfNegative val="0"/>
          <c:cat>
            <c:strRef>
              <c:f>Sheet2!$B$3:$M$3</c:f>
              <c:strCach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Avg:</c:v>
                </c:pt>
              </c:strCache>
            </c:strRef>
          </c:cat>
          <c:val>
            <c:numRef>
              <c:f>Sheet2!$B$4:$M$4</c:f>
              <c:numCache>
                <c:formatCode>General</c:formatCode>
                <c:ptCount val="12"/>
                <c:pt idx="2">
                  <c:v>3.1175114920921909</c:v>
                </c:pt>
                <c:pt idx="3">
                  <c:v>0.9569750148042695</c:v>
                </c:pt>
                <c:pt idx="4">
                  <c:v>-1.6584188526628305</c:v>
                </c:pt>
                <c:pt idx="5">
                  <c:v>-0.96715985876953459</c:v>
                </c:pt>
                <c:pt idx="6">
                  <c:v>0.14008963509916866</c:v>
                </c:pt>
                <c:pt idx="7">
                  <c:v>0.70556898099438581</c:v>
                </c:pt>
                <c:pt idx="8">
                  <c:v>3.2252741476209383</c:v>
                </c:pt>
                <c:pt idx="9">
                  <c:v>5.705173317930603</c:v>
                </c:pt>
                <c:pt idx="10">
                  <c:v>5.4613490541032217</c:v>
                </c:pt>
                <c:pt idx="11">
                  <c:v>1.8540403256902682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1-A343-8132-98DC7EBE6D23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5-yr</c:v>
                </c:pt>
              </c:strCache>
            </c:strRef>
          </c:tx>
          <c:invertIfNegative val="0"/>
          <c:cat>
            <c:strRef>
              <c:f>Sheet2!$B$3:$M$3</c:f>
              <c:strCach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Avg:</c:v>
                </c:pt>
              </c:strCache>
            </c:strRef>
          </c:cat>
          <c:val>
            <c:numRef>
              <c:f>Sheet2!$B$5:$M$5</c:f>
              <c:numCache>
                <c:formatCode>General</c:formatCode>
                <c:ptCount val="12"/>
                <c:pt idx="4">
                  <c:v>0.5236994575385866</c:v>
                </c:pt>
                <c:pt idx="5">
                  <c:v>-1.6399355152410939E-2</c:v>
                </c:pt>
                <c:pt idx="6">
                  <c:v>-0.98030755166164241</c:v>
                </c:pt>
                <c:pt idx="7">
                  <c:v>-0.2448513414834588</c:v>
                </c:pt>
                <c:pt idx="8">
                  <c:v>1.883590049333185</c:v>
                </c:pt>
                <c:pt idx="9">
                  <c:v>3.8196192195253151</c:v>
                </c:pt>
                <c:pt idx="10">
                  <c:v>5.2388583008708185</c:v>
                </c:pt>
                <c:pt idx="11">
                  <c:v>1.4606012541386275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1-A343-8132-98DC7EBE6D23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10-yr</c:v>
                </c:pt>
              </c:strCache>
            </c:strRef>
          </c:tx>
          <c:invertIfNegative val="0"/>
          <c:cat>
            <c:strRef>
              <c:f>Sheet2!$B$3:$M$3</c:f>
              <c:strCach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Avg:</c:v>
                </c:pt>
              </c:strCache>
            </c:strRef>
          </c:cat>
          <c:val>
            <c:numRef>
              <c:f>Sheet2!$B$6:$M$6</c:f>
              <c:numCache>
                <c:formatCode>General</c:formatCode>
                <c:ptCount val="12"/>
                <c:pt idx="9">
                  <c:v>2.2561798279562897</c:v>
                </c:pt>
                <c:pt idx="10">
                  <c:v>2.4264142027308147</c:v>
                </c:pt>
                <c:pt idx="11">
                  <c:v>2.3412970153435522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1-A343-8132-98DC7EBE6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114041576"/>
        <c:axId val="2073722216"/>
      </c:barChart>
      <c:catAx>
        <c:axId val="-211404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3722216"/>
        <c:crosses val="autoZero"/>
        <c:auto val="1"/>
        <c:lblAlgn val="ctr"/>
        <c:lblOffset val="100"/>
        <c:noMultiLvlLbl val="0"/>
      </c:catAx>
      <c:valAx>
        <c:axId val="2073722216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14041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066483163417"/>
          <c:y val="0.12798507462686601"/>
          <c:w val="0.73240593859994096"/>
          <c:h val="0.73517422728875303"/>
        </c:manualLayout>
      </c:layout>
      <c:lineChart>
        <c:grouping val="stacked"/>
        <c:varyColors val="0"/>
        <c:ser>
          <c:idx val="0"/>
          <c:order val="0"/>
          <c:tx>
            <c:strRef>
              <c:f>DCF!$A$19</c:f>
              <c:strCache>
                <c:ptCount val="1"/>
                <c:pt idx="0">
                  <c:v>OperMargin</c:v>
                </c:pt>
              </c:strCache>
            </c:strRef>
          </c:tx>
          <c:cat>
            <c:strRef>
              <c:f>DCF!$B$2:$N$2</c:f>
              <c:strCach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2016E</c:v>
                </c:pt>
                <c:pt idx="12">
                  <c:v>2017E</c:v>
                </c:pt>
              </c:strCache>
            </c:strRef>
          </c:cat>
          <c:val>
            <c:numRef>
              <c:f>DCF!$B$19:$P$19</c:f>
              <c:numCache>
                <c:formatCode>0.0%</c:formatCode>
                <c:ptCount val="15"/>
                <c:pt idx="0">
                  <c:v>8.0240776072877759E-2</c:v>
                </c:pt>
                <c:pt idx="1">
                  <c:v>9.9772841998990405E-2</c:v>
                </c:pt>
                <c:pt idx="2">
                  <c:v>0.10814103482872295</c:v>
                </c:pt>
                <c:pt idx="3">
                  <c:v>0.12007675926142614</c:v>
                </c:pt>
                <c:pt idx="4">
                  <c:v>0.10089782929878395</c:v>
                </c:pt>
                <c:pt idx="5">
                  <c:v>9.3472882135271829E-2</c:v>
                </c:pt>
                <c:pt idx="6">
                  <c:v>8.8518032645863345E-2</c:v>
                </c:pt>
                <c:pt idx="7">
                  <c:v>9.3573820524776391E-2</c:v>
                </c:pt>
                <c:pt idx="8">
                  <c:v>0.10664050443141232</c:v>
                </c:pt>
                <c:pt idx="9">
                  <c:v>0.12381578947368421</c:v>
                </c:pt>
                <c:pt idx="10">
                  <c:v>0.12397034596375618</c:v>
                </c:pt>
                <c:pt idx="11">
                  <c:v>0.11814221328961756</c:v>
                </c:pt>
                <c:pt idx="12">
                  <c:v>0.1073036986078985</c:v>
                </c:pt>
                <c:pt idx="13">
                  <c:v>0.13631082597220531</c:v>
                </c:pt>
                <c:pt idx="14">
                  <c:v>0.14729580392509678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5-4543-80B9-EF97A0115BB6}"/>
            </c:ext>
          </c:extLst>
        </c:ser>
        <c:ser>
          <c:idx val="1"/>
          <c:order val="1"/>
          <c:tx>
            <c:strRef>
              <c:f>DCF!$A$20</c:f>
              <c:strCache>
                <c:ptCount val="1"/>
                <c:pt idx="0">
                  <c:v>EBIT Margin</c:v>
                </c:pt>
              </c:strCache>
            </c:strRef>
          </c:tx>
          <c:cat>
            <c:strRef>
              <c:f>DCF!$B$2:$N$2</c:f>
              <c:strCach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2016E</c:v>
                </c:pt>
                <c:pt idx="12">
                  <c:v>2017E</c:v>
                </c:pt>
              </c:strCache>
            </c:strRef>
          </c:cat>
          <c:val>
            <c:numRef>
              <c:f>DCF!$B$20:$P$20</c:f>
              <c:numCache>
                <c:formatCode>0.0%</c:formatCode>
                <c:ptCount val="15"/>
                <c:pt idx="0">
                  <c:v>8.0240776072877759E-2</c:v>
                </c:pt>
                <c:pt idx="1">
                  <c:v>9.9772841998990405E-2</c:v>
                </c:pt>
                <c:pt idx="2">
                  <c:v>0.10814103482872295</c:v>
                </c:pt>
                <c:pt idx="3">
                  <c:v>0.12007675926142614</c:v>
                </c:pt>
                <c:pt idx="4">
                  <c:v>0.10089782929878395</c:v>
                </c:pt>
                <c:pt idx="5">
                  <c:v>9.3472882135271829E-2</c:v>
                </c:pt>
                <c:pt idx="6">
                  <c:v>8.8518032645863359E-2</c:v>
                </c:pt>
                <c:pt idx="7">
                  <c:v>9.3573820524776405E-2</c:v>
                </c:pt>
                <c:pt idx="8">
                  <c:v>0.10664050443141231</c:v>
                </c:pt>
                <c:pt idx="9">
                  <c:v>0.1238157894736842</c:v>
                </c:pt>
                <c:pt idx="10">
                  <c:v>0.12397034596375617</c:v>
                </c:pt>
                <c:pt idx="11">
                  <c:v>0.11814221328961756</c:v>
                </c:pt>
                <c:pt idx="12">
                  <c:v>0.10730369860789848</c:v>
                </c:pt>
                <c:pt idx="13">
                  <c:v>0.13631082597220531</c:v>
                </c:pt>
                <c:pt idx="14">
                  <c:v>0.14729580392509678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5-4543-80B9-EF97A0115BB6}"/>
            </c:ext>
          </c:extLst>
        </c:ser>
        <c:ser>
          <c:idx val="2"/>
          <c:order val="2"/>
          <c:tx>
            <c:strRef>
              <c:f>DCF!$A$21</c:f>
              <c:strCache>
                <c:ptCount val="1"/>
                <c:pt idx="0">
                  <c:v>Net Margin</c:v>
                </c:pt>
              </c:strCache>
            </c:strRef>
          </c:tx>
          <c:cat>
            <c:strRef>
              <c:f>DCF!$B$2:$N$2</c:f>
              <c:strCach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2016E</c:v>
                </c:pt>
                <c:pt idx="12">
                  <c:v>2017E</c:v>
                </c:pt>
              </c:strCache>
            </c:strRef>
          </c:cat>
          <c:val>
            <c:numRef>
              <c:f>DCF!$B$21:$P$21</c:f>
              <c:numCache>
                <c:formatCode>0.0%</c:formatCode>
                <c:ptCount val="15"/>
                <c:pt idx="0">
                  <c:v>4.9042001451105793E-2</c:v>
                </c:pt>
                <c:pt idx="1">
                  <c:v>6.3831398283695107E-2</c:v>
                </c:pt>
                <c:pt idx="2">
                  <c:v>7.2452343414074818E-2</c:v>
                </c:pt>
                <c:pt idx="3">
                  <c:v>7.5284921953616815E-2</c:v>
                </c:pt>
                <c:pt idx="4">
                  <c:v>6.8735083532219576E-2</c:v>
                </c:pt>
                <c:pt idx="5">
                  <c:v>6.3015918197543305E-2</c:v>
                </c:pt>
                <c:pt idx="6">
                  <c:v>5.7098002107572203E-2</c:v>
                </c:pt>
                <c:pt idx="7">
                  <c:v>5.8178966555042178E-2</c:v>
                </c:pt>
                <c:pt idx="8">
                  <c:v>6.5721592662815825E-2</c:v>
                </c:pt>
                <c:pt idx="9">
                  <c:v>7.9254385964912286E-2</c:v>
                </c:pt>
                <c:pt idx="10">
                  <c:v>7.8145322119136384E-2</c:v>
                </c:pt>
                <c:pt idx="11">
                  <c:v>7.4373766915621489E-2</c:v>
                </c:pt>
                <c:pt idx="12">
                  <c:v>6.7679653881895771E-2</c:v>
                </c:pt>
                <c:pt idx="13">
                  <c:v>8.6447787197024326E-2</c:v>
                </c:pt>
                <c:pt idx="14">
                  <c:v>9.4675946949225279E-2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5-4543-80B9-EF97A0115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80552"/>
        <c:axId val="-2089268888"/>
      </c:lineChart>
      <c:dateAx>
        <c:axId val="-2093180552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-2089268888"/>
        <c:crosses val="autoZero"/>
        <c:auto val="0"/>
        <c:lblOffset val="100"/>
        <c:baseTimeUnit val="days"/>
      </c:dateAx>
      <c:valAx>
        <c:axId val="-208926888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-209318055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spPr>
    <a:noFill/>
    <a:ln w="25400" cap="flat" cmpd="sng" algn="ctr">
      <a:noFill/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$1</a:t>
            </a:r>
            <a:r>
              <a:rPr lang="en-US" baseline="0"/>
              <a:t> test value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3-yr</c:v>
                </c:pt>
              </c:strCache>
            </c:strRef>
          </c:tx>
          <c:invertIfNegative val="0"/>
          <c:cat>
            <c:strRef>
              <c:f>Sheet2!$B$3:$M$3</c:f>
              <c:strCach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Avg:</c:v>
                </c:pt>
              </c:strCache>
            </c:strRef>
          </c:cat>
          <c:val>
            <c:numRef>
              <c:f>Sheet2!$B$4:$M$4</c:f>
              <c:numCache>
                <c:formatCode>General</c:formatCode>
                <c:ptCount val="12"/>
                <c:pt idx="2">
                  <c:v>3.1175114920921909</c:v>
                </c:pt>
                <c:pt idx="3">
                  <c:v>0.9569750148042695</c:v>
                </c:pt>
                <c:pt idx="4">
                  <c:v>-1.6584188526628305</c:v>
                </c:pt>
                <c:pt idx="5">
                  <c:v>-0.96715985876953459</c:v>
                </c:pt>
                <c:pt idx="6">
                  <c:v>0.14008963509916866</c:v>
                </c:pt>
                <c:pt idx="7">
                  <c:v>0.70556898099438581</c:v>
                </c:pt>
                <c:pt idx="8">
                  <c:v>3.2252741476209383</c:v>
                </c:pt>
                <c:pt idx="9">
                  <c:v>5.705173317930603</c:v>
                </c:pt>
                <c:pt idx="10">
                  <c:v>5.4613490541032217</c:v>
                </c:pt>
                <c:pt idx="11">
                  <c:v>1.8540403256902682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4-8248-B743-F582F41F9B08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5-yr</c:v>
                </c:pt>
              </c:strCache>
            </c:strRef>
          </c:tx>
          <c:invertIfNegative val="0"/>
          <c:cat>
            <c:strRef>
              <c:f>Sheet2!$B$3:$M$3</c:f>
              <c:strCach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Avg:</c:v>
                </c:pt>
              </c:strCache>
            </c:strRef>
          </c:cat>
          <c:val>
            <c:numRef>
              <c:f>Sheet2!$B$5:$M$5</c:f>
              <c:numCache>
                <c:formatCode>General</c:formatCode>
                <c:ptCount val="12"/>
                <c:pt idx="4">
                  <c:v>0.5236994575385866</c:v>
                </c:pt>
                <c:pt idx="5">
                  <c:v>-1.6399355152410939E-2</c:v>
                </c:pt>
                <c:pt idx="6">
                  <c:v>-0.98030755166164241</c:v>
                </c:pt>
                <c:pt idx="7">
                  <c:v>-0.2448513414834588</c:v>
                </c:pt>
                <c:pt idx="8">
                  <c:v>1.883590049333185</c:v>
                </c:pt>
                <c:pt idx="9">
                  <c:v>3.8196192195253151</c:v>
                </c:pt>
                <c:pt idx="10">
                  <c:v>5.2388583008708185</c:v>
                </c:pt>
                <c:pt idx="11">
                  <c:v>1.4606012541386275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4-8248-B743-F582F41F9B08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10-yr</c:v>
                </c:pt>
              </c:strCache>
            </c:strRef>
          </c:tx>
          <c:invertIfNegative val="0"/>
          <c:cat>
            <c:strRef>
              <c:f>Sheet2!$B$3:$M$3</c:f>
              <c:strCach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Avg:</c:v>
                </c:pt>
              </c:strCache>
            </c:strRef>
          </c:cat>
          <c:val>
            <c:numRef>
              <c:f>Sheet2!$B$6:$M$6</c:f>
              <c:numCache>
                <c:formatCode>General</c:formatCode>
                <c:ptCount val="12"/>
                <c:pt idx="9">
                  <c:v>2.2561798279562897</c:v>
                </c:pt>
                <c:pt idx="10">
                  <c:v>2.4264142027308147</c:v>
                </c:pt>
                <c:pt idx="11">
                  <c:v>2.3412970153435522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D4-8248-B743-F582F41F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084149512"/>
        <c:axId val="2062891368"/>
      </c:barChart>
      <c:catAx>
        <c:axId val="-208414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2891368"/>
        <c:crosses val="autoZero"/>
        <c:auto val="1"/>
        <c:lblAlgn val="ctr"/>
        <c:lblOffset val="100"/>
        <c:noMultiLvlLbl val="0"/>
      </c:catAx>
      <c:valAx>
        <c:axId val="2062891368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84149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37</xdr:row>
      <xdr:rowOff>31750</xdr:rowOff>
    </xdr:from>
    <xdr:to>
      <xdr:col>13</xdr:col>
      <xdr:colOff>444500</xdr:colOff>
      <xdr:row>62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76200</xdr:rowOff>
    </xdr:from>
    <xdr:to>
      <xdr:col>12</xdr:col>
      <xdr:colOff>546100</xdr:colOff>
      <xdr:row>36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33</xdr:row>
      <xdr:rowOff>127000</xdr:rowOff>
    </xdr:from>
    <xdr:to>
      <xdr:col>10</xdr:col>
      <xdr:colOff>736600</xdr:colOff>
      <xdr:row>59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CaseKrautwur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$-Test"/>
      <sheetName val="Residual"/>
      <sheetName val="Sheet1"/>
    </sheetNames>
    <sheetDataSet>
      <sheetData sheetId="0"/>
      <sheetData sheetId="1"/>
      <sheetData sheetId="2">
        <row r="8">
          <cell r="B8">
            <v>6.7817397229161935</v>
          </cell>
          <cell r="C8">
            <v>9.2338238729268856</v>
          </cell>
          <cell r="D8">
            <v>10.882211538461538</v>
          </cell>
          <cell r="E8">
            <v>12.837127845884414</v>
          </cell>
          <cell r="F8">
            <v>11.535862785862786</v>
          </cell>
          <cell r="G8">
            <v>11.721581548599671</v>
          </cell>
          <cell r="H8">
            <v>12.253646918725812</v>
          </cell>
          <cell r="I8">
            <v>13.639172072907012</v>
          </cell>
          <cell r="J8">
            <v>15.073231536304146</v>
          </cell>
          <cell r="K8">
            <v>17.821969696969695</v>
          </cell>
          <cell r="L8">
            <v>18.430551079600384</v>
          </cell>
        </row>
        <row r="9">
          <cell r="L9">
            <v>11.617789236223009</v>
          </cell>
          <cell r="O9">
            <v>14.617882371898162</v>
          </cell>
          <cell r="P9">
            <v>15.202597666774089</v>
          </cell>
        </row>
        <row r="14">
          <cell r="L14">
            <v>6.1231066709635833</v>
          </cell>
          <cell r="O14">
            <v>4.2391858878504678</v>
          </cell>
          <cell r="P14">
            <v>4.332740335030616</v>
          </cell>
        </row>
        <row r="17">
          <cell r="L17">
            <v>9.9806638736706415</v>
          </cell>
        </row>
        <row r="18">
          <cell r="B18">
            <v>440.3</v>
          </cell>
          <cell r="C18">
            <v>428.1</v>
          </cell>
          <cell r="D18">
            <v>416</v>
          </cell>
          <cell r="E18">
            <v>399.7</v>
          </cell>
          <cell r="F18">
            <v>384.8</v>
          </cell>
          <cell r="G18">
            <v>364.2</v>
          </cell>
          <cell r="H18">
            <v>335.9</v>
          </cell>
          <cell r="I18">
            <v>323.7</v>
          </cell>
          <cell r="J18">
            <v>320.89999999999998</v>
          </cell>
          <cell r="K18">
            <v>316.8</v>
          </cell>
          <cell r="L18">
            <v>310.3</v>
          </cell>
        </row>
        <row r="22">
          <cell r="B22">
            <v>0.3024</v>
          </cell>
          <cell r="C22">
            <v>0.2959</v>
          </cell>
          <cell r="D22">
            <v>0.30559999999999998</v>
          </cell>
          <cell r="E22">
            <v>0.31580000000000003</v>
          </cell>
          <cell r="F22">
            <v>0.29099999999999998</v>
          </cell>
          <cell r="G22">
            <v>0.30809999999999998</v>
          </cell>
          <cell r="H22">
            <v>0.314</v>
          </cell>
          <cell r="I22">
            <v>0.32700000000000001</v>
          </cell>
          <cell r="J22">
            <v>0.311</v>
          </cell>
          <cell r="K22">
            <v>0.29699999999999999</v>
          </cell>
          <cell r="L22">
            <v>0.27700000000000002</v>
          </cell>
        </row>
        <row r="35">
          <cell r="B35">
            <v>7.7499999999999999E-2</v>
          </cell>
          <cell r="C35">
            <v>7.7499999999999999E-2</v>
          </cell>
          <cell r="D35">
            <v>8.3199999999999996E-2</v>
          </cell>
          <cell r="E35">
            <v>9.3799999999999994E-2</v>
          </cell>
          <cell r="F35">
            <v>8.5300000000000001E-2</v>
          </cell>
          <cell r="G35">
            <v>8.2900000000000001E-2</v>
          </cell>
          <cell r="H35">
            <v>6.9800000000000001E-2</v>
          </cell>
          <cell r="I35">
            <v>7.0499999999999993E-2</v>
          </cell>
          <cell r="J35">
            <v>8.3900000000000002E-2</v>
          </cell>
          <cell r="K35">
            <v>8.4199999999999997E-2</v>
          </cell>
          <cell r="L35">
            <v>7.5200000000000003E-2</v>
          </cell>
        </row>
        <row r="43">
          <cell r="E43">
            <v>4.0815641711688985E-2</v>
          </cell>
        </row>
        <row r="69">
          <cell r="B69">
            <v>27744</v>
          </cell>
          <cell r="C69">
            <v>28231</v>
          </cell>
          <cell r="D69">
            <v>28926</v>
          </cell>
          <cell r="E69">
            <v>33439</v>
          </cell>
          <cell r="F69">
            <v>35111</v>
          </cell>
          <cell r="G69">
            <v>35113</v>
          </cell>
          <cell r="H69">
            <v>37908</v>
          </cell>
          <cell r="I69">
            <v>38657</v>
          </cell>
          <cell r="J69">
            <v>36188</v>
          </cell>
          <cell r="K69">
            <v>37046</v>
          </cell>
          <cell r="L69">
            <v>49128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workbookViewId="0">
      <selection activeCell="F8" sqref="F8"/>
    </sheetView>
  </sheetViews>
  <sheetFormatPr baseColWidth="10" defaultColWidth="11" defaultRowHeight="16" x14ac:dyDescent="0.2"/>
  <cols>
    <col min="1" max="1" width="16" customWidth="1"/>
  </cols>
  <sheetData>
    <row r="1" spans="1:20" x14ac:dyDescent="0.2">
      <c r="A1" s="49" t="s">
        <v>141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1:20" x14ac:dyDescent="0.2">
      <c r="A2" s="49" t="s">
        <v>1103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</row>
    <row r="3" spans="1:20" ht="17" thickBot="1" x14ac:dyDescent="0.25">
      <c r="A3" s="51" t="s">
        <v>1104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</row>
    <row r="4" spans="1:20" x14ac:dyDescent="0.2">
      <c r="A4" s="283"/>
      <c r="B4" s="284"/>
      <c r="C4" s="284"/>
      <c r="D4" s="284"/>
      <c r="E4" s="284"/>
      <c r="F4" s="284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</row>
    <row r="5" spans="1:20" x14ac:dyDescent="0.2">
      <c r="A5" s="285"/>
      <c r="B5" s="286"/>
      <c r="C5" s="287" t="s">
        <v>1105</v>
      </c>
      <c r="D5" s="288" t="s">
        <v>1106</v>
      </c>
      <c r="E5" s="288"/>
      <c r="F5" s="288"/>
      <c r="G5" s="461" t="s">
        <v>1107</v>
      </c>
      <c r="H5" s="461"/>
      <c r="I5" s="461"/>
      <c r="J5" s="461"/>
      <c r="K5" s="461"/>
      <c r="L5" s="461"/>
      <c r="M5" s="461"/>
      <c r="N5" s="461"/>
      <c r="O5" s="461"/>
      <c r="P5" s="53" t="str">
        <f>G6</f>
        <v>T12M</v>
      </c>
      <c r="Q5" s="53" t="s">
        <v>1108</v>
      </c>
      <c r="R5" s="462" t="s">
        <v>1109</v>
      </c>
      <c r="S5" s="462"/>
      <c r="T5" s="462"/>
    </row>
    <row r="6" spans="1:20" x14ac:dyDescent="0.2">
      <c r="A6" s="285"/>
      <c r="B6" s="286"/>
      <c r="C6" s="288" t="s">
        <v>1110</v>
      </c>
      <c r="D6" s="288" t="s">
        <v>1111</v>
      </c>
      <c r="E6" s="288" t="s">
        <v>1112</v>
      </c>
      <c r="F6" s="288" t="s">
        <v>1113</v>
      </c>
      <c r="G6" s="316" t="s">
        <v>1114</v>
      </c>
      <c r="H6" s="317" t="s">
        <v>1</v>
      </c>
      <c r="I6" s="317" t="s">
        <v>2</v>
      </c>
      <c r="J6" s="317" t="str">
        <f>G6</f>
        <v>T12M</v>
      </c>
      <c r="K6" s="317" t="str">
        <f>H6</f>
        <v>2016E</v>
      </c>
      <c r="L6" s="317" t="str">
        <f>I6</f>
        <v>2017E</v>
      </c>
      <c r="M6" s="317" t="str">
        <f>G6</f>
        <v>T12M</v>
      </c>
      <c r="N6" s="317" t="str">
        <f>K6</f>
        <v>2016E</v>
      </c>
      <c r="O6" s="318" t="str">
        <f>L6</f>
        <v>2017E</v>
      </c>
      <c r="P6" s="288" t="s">
        <v>330</v>
      </c>
      <c r="Q6" s="288" t="s">
        <v>1115</v>
      </c>
      <c r="R6" s="316" t="str">
        <f>G6</f>
        <v>T12M</v>
      </c>
      <c r="S6" s="317" t="str">
        <f>N6</f>
        <v>2016E</v>
      </c>
      <c r="T6" s="318" t="str">
        <f>O6</f>
        <v>2017E</v>
      </c>
    </row>
    <row r="7" spans="1:20" x14ac:dyDescent="0.2">
      <c r="A7" s="289" t="s">
        <v>1116</v>
      </c>
      <c r="B7" s="290" t="s">
        <v>1117</v>
      </c>
      <c r="C7" s="291" t="s">
        <v>1118</v>
      </c>
      <c r="D7" s="291" t="s">
        <v>105</v>
      </c>
      <c r="E7" s="291" t="s">
        <v>109</v>
      </c>
      <c r="F7" s="291" t="s">
        <v>109</v>
      </c>
      <c r="G7" s="319" t="s">
        <v>1119</v>
      </c>
      <c r="H7" s="320" t="s">
        <v>1119</v>
      </c>
      <c r="I7" s="320" t="s">
        <v>1119</v>
      </c>
      <c r="J7" s="320" t="s">
        <v>330</v>
      </c>
      <c r="K7" s="320" t="s">
        <v>330</v>
      </c>
      <c r="L7" s="320" t="s">
        <v>330</v>
      </c>
      <c r="M7" s="320" t="s">
        <v>19</v>
      </c>
      <c r="N7" s="320" t="s">
        <v>19</v>
      </c>
      <c r="O7" s="321" t="s">
        <v>19</v>
      </c>
      <c r="P7" s="291" t="s">
        <v>1120</v>
      </c>
      <c r="Q7" s="291" t="s">
        <v>330</v>
      </c>
      <c r="R7" s="319" t="s">
        <v>1079</v>
      </c>
      <c r="S7" s="320" t="s">
        <v>1079</v>
      </c>
      <c r="T7" s="321" t="s">
        <v>1079</v>
      </c>
    </row>
    <row r="8" spans="1:20" x14ac:dyDescent="0.2">
      <c r="A8" s="306" t="s">
        <v>1121</v>
      </c>
      <c r="B8" s="307" t="s">
        <v>141</v>
      </c>
      <c r="C8" s="308">
        <v>226.79</v>
      </c>
      <c r="D8" s="309">
        <f>C8/B21</f>
        <v>0.99469298245614035</v>
      </c>
      <c r="E8" s="310">
        <f>C8*C21</f>
        <v>69282.077099999995</v>
      </c>
      <c r="F8" s="310">
        <f>E8+D21+E21-F21</f>
        <v>83453.077099999995</v>
      </c>
      <c r="G8" s="311">
        <f>F8/G21</f>
        <v>1.8520023323938659</v>
      </c>
      <c r="H8" s="312">
        <f>F8/H21</f>
        <v>1.6542723472158898</v>
      </c>
      <c r="I8" s="313"/>
      <c r="J8" s="311">
        <f>F8/I21</f>
        <v>12.545561800962115</v>
      </c>
      <c r="K8" s="312">
        <f>F8/J21</f>
        <v>11.947469878310665</v>
      </c>
      <c r="L8" s="313"/>
      <c r="M8" s="311">
        <f>F8/K21</f>
        <v>14.767842346487347</v>
      </c>
      <c r="N8" s="312">
        <f>E8/L21</f>
        <v>12.007001060632843</v>
      </c>
      <c r="O8" s="313"/>
      <c r="P8" s="314">
        <f>I21/G21</f>
        <v>0.1476221122478418</v>
      </c>
      <c r="Q8" s="315">
        <f>D21/I21</f>
        <v>2.2941972339146122</v>
      </c>
      <c r="R8" s="304">
        <f>C8/M21</f>
        <v>20.123336291038154</v>
      </c>
      <c r="S8" s="305">
        <f>C8/N21</f>
        <v>19.252122241086589</v>
      </c>
      <c r="T8" s="313"/>
    </row>
    <row r="9" spans="1:20" x14ac:dyDescent="0.2">
      <c r="A9" s="294" t="s">
        <v>1122</v>
      </c>
      <c r="B9" s="295" t="s">
        <v>1123</v>
      </c>
      <c r="C9" s="35">
        <v>200.83</v>
      </c>
      <c r="D9" s="292">
        <f>C9/B22</f>
        <v>0.98504021973710032</v>
      </c>
      <c r="E9" s="293">
        <f t="shared" ref="E9:E12" si="0">C9*C22</f>
        <v>36338.180200000003</v>
      </c>
      <c r="F9" s="293">
        <f t="shared" ref="F9:F12" si="1">E9+D22+E22-F22</f>
        <v>40435.180200000003</v>
      </c>
      <c r="G9" s="297">
        <f t="shared" ref="G9:G12" si="2">F9/G22</f>
        <v>1.6786441464629691</v>
      </c>
      <c r="H9" s="298">
        <f t="shared" ref="H9:H12" si="3">F9/H22</f>
        <v>1.6357273543689321</v>
      </c>
      <c r="I9" s="303"/>
      <c r="J9" s="297">
        <f t="shared" ref="J9:J12" si="4">F9/I22</f>
        <v>12.201321726010864</v>
      </c>
      <c r="K9" s="298">
        <f t="shared" ref="K9:K12" si="5">F9/J22</f>
        <v>11.747582858803023</v>
      </c>
      <c r="L9" s="303"/>
      <c r="M9" s="297">
        <f t="shared" ref="M9:M12" si="6">F9/K22</f>
        <v>14.12829496855346</v>
      </c>
      <c r="N9" s="298">
        <f t="shared" ref="N9:N12" si="7">E9/L22</f>
        <v>12.521771261199174</v>
      </c>
      <c r="O9" s="303"/>
      <c r="P9" s="299">
        <f t="shared" ref="P9:P12" si="8">I22/G22</f>
        <v>0.13757887744935238</v>
      </c>
      <c r="Q9" s="300">
        <f t="shared" ref="Q9:Q12" si="9">D22/I22</f>
        <v>1.936028968014484</v>
      </c>
      <c r="R9" s="301">
        <f t="shared" ref="R9:R12" si="10">C9/M22</f>
        <v>20.746900826446282</v>
      </c>
      <c r="S9" s="302">
        <f t="shared" ref="S9:S12" si="11">C9/N22</f>
        <v>19.650684931506849</v>
      </c>
      <c r="T9" s="303"/>
    </row>
    <row r="10" spans="1:20" x14ac:dyDescent="0.2">
      <c r="A10" s="285" t="s">
        <v>1124</v>
      </c>
      <c r="B10" s="296" t="s">
        <v>1125</v>
      </c>
      <c r="C10" s="35">
        <v>126.49</v>
      </c>
      <c r="D10" s="292">
        <f>C10/B23</f>
        <v>0.97307485191168541</v>
      </c>
      <c r="E10" s="293">
        <f t="shared" si="0"/>
        <v>37820.51</v>
      </c>
      <c r="F10" s="293">
        <f t="shared" si="1"/>
        <v>40507.51</v>
      </c>
      <c r="G10" s="297">
        <f t="shared" si="2"/>
        <v>1.791891975581704</v>
      </c>
      <c r="H10" s="298">
        <f t="shared" si="3"/>
        <v>1.6085259897549935</v>
      </c>
      <c r="I10" s="303"/>
      <c r="J10" s="297">
        <f t="shared" si="4"/>
        <v>11.636745188164321</v>
      </c>
      <c r="K10" s="298">
        <f t="shared" si="5"/>
        <v>10.942061048082119</v>
      </c>
      <c r="L10" s="303"/>
      <c r="M10" s="297">
        <f t="shared" si="6"/>
        <v>13.316078238001316</v>
      </c>
      <c r="N10" s="298">
        <f t="shared" si="7"/>
        <v>11.855959247648903</v>
      </c>
      <c r="O10" s="303"/>
      <c r="P10" s="299">
        <f t="shared" si="8"/>
        <v>0.15398566752189685</v>
      </c>
      <c r="Q10" s="300">
        <f t="shared" si="9"/>
        <v>1.5311692042516518</v>
      </c>
      <c r="R10" s="301">
        <f t="shared" si="10"/>
        <v>17.84062059238364</v>
      </c>
      <c r="S10" s="302">
        <f t="shared" si="11"/>
        <v>17.992887624466569</v>
      </c>
      <c r="T10" s="303"/>
    </row>
    <row r="11" spans="1:20" x14ac:dyDescent="0.2">
      <c r="A11" s="285" t="s">
        <v>1126</v>
      </c>
      <c r="B11" s="296" t="s">
        <v>1127</v>
      </c>
      <c r="C11" s="35">
        <v>131.08000000000001</v>
      </c>
      <c r="D11" s="292">
        <f>C11/B24</f>
        <v>0.8429581993569133</v>
      </c>
      <c r="E11" s="293">
        <f t="shared" si="0"/>
        <v>86840.500000000015</v>
      </c>
      <c r="F11" s="293">
        <f t="shared" si="1"/>
        <v>84814.500000000015</v>
      </c>
      <c r="G11" s="297">
        <f t="shared" si="2"/>
        <v>0.91744910542370695</v>
      </c>
      <c r="H11" s="298">
        <f t="shared" si="3"/>
        <v>0.88138191189766091</v>
      </c>
      <c r="I11" s="303"/>
      <c r="J11" s="297">
        <f t="shared" si="4"/>
        <v>8.4967441394510139</v>
      </c>
      <c r="K11" s="298">
        <f t="shared" si="5"/>
        <v>8.1271080873898054</v>
      </c>
      <c r="L11" s="303"/>
      <c r="M11" s="297">
        <f t="shared" si="6"/>
        <v>10.516367017978924</v>
      </c>
      <c r="N11" s="298">
        <f t="shared" si="7"/>
        <v>10.189114699625831</v>
      </c>
      <c r="O11" s="303"/>
      <c r="P11" s="299">
        <f t="shared" si="8"/>
        <v>0.10797654847154015</v>
      </c>
      <c r="Q11" s="300">
        <f t="shared" si="9"/>
        <v>0.99819675415748343</v>
      </c>
      <c r="R11" s="301">
        <f t="shared" si="10"/>
        <v>16.222772277227723</v>
      </c>
      <c r="S11" s="302">
        <f t="shared" si="11"/>
        <v>14.963470319634705</v>
      </c>
      <c r="T11" s="303"/>
    </row>
    <row r="12" spans="1:20" x14ac:dyDescent="0.2">
      <c r="A12" s="285" t="s">
        <v>1128</v>
      </c>
      <c r="B12" s="296" t="s">
        <v>1129</v>
      </c>
      <c r="C12" s="35">
        <v>137.9</v>
      </c>
      <c r="D12" s="292">
        <f>C12/B25</f>
        <v>0.89685223725286167</v>
      </c>
      <c r="E12" s="293">
        <f t="shared" si="0"/>
        <v>42908.964000000007</v>
      </c>
      <c r="F12" s="293">
        <f t="shared" si="1"/>
        <v>43522.964000000007</v>
      </c>
      <c r="G12" s="297">
        <f t="shared" si="2"/>
        <v>1.387362978547066</v>
      </c>
      <c r="H12" s="298">
        <f t="shared" si="3"/>
        <v>1.3580555416874691</v>
      </c>
      <c r="I12" s="303"/>
      <c r="J12" s="297">
        <f t="shared" si="4"/>
        <v>9.5928948644478744</v>
      </c>
      <c r="K12" s="298">
        <f t="shared" si="5"/>
        <v>9.2139393682784334</v>
      </c>
      <c r="L12" s="303"/>
      <c r="M12" s="297">
        <f t="shared" si="6"/>
        <v>10.76768035625928</v>
      </c>
      <c r="N12" s="298">
        <f t="shared" si="7"/>
        <v>10.170410997866794</v>
      </c>
      <c r="O12" s="303"/>
      <c r="P12" s="299">
        <f t="shared" si="8"/>
        <v>0.14462401581078066</v>
      </c>
      <c r="Q12" s="300">
        <f t="shared" si="9"/>
        <v>0.74917346264051132</v>
      </c>
      <c r="R12" s="301">
        <f t="shared" si="10"/>
        <v>17.21598002496879</v>
      </c>
      <c r="S12" s="302">
        <f t="shared" si="11"/>
        <v>14.701492537313433</v>
      </c>
      <c r="T12" s="303"/>
    </row>
    <row r="14" spans="1:20" ht="17" thickBot="1" x14ac:dyDescent="0.25"/>
    <row r="15" spans="1:20" x14ac:dyDescent="0.2">
      <c r="A15" s="55" t="s">
        <v>1130</v>
      </c>
      <c r="B15" s="56"/>
      <c r="C15" s="57"/>
      <c r="D15" s="57"/>
      <c r="E15" s="57"/>
      <c r="F15" s="57"/>
      <c r="G15" s="58">
        <f>AVERAGE(G8:G13)</f>
        <v>1.5254701076818624</v>
      </c>
      <c r="H15" s="59">
        <f>AVERAGE(H8:H13)</f>
        <v>1.4275926289849892</v>
      </c>
      <c r="I15" s="60"/>
      <c r="J15" s="58">
        <f>AVERAGE(J8:J13)</f>
        <v>10.894653543807237</v>
      </c>
      <c r="K15" s="59">
        <f>AVERAGE(K8:K13)</f>
        <v>10.395632248172809</v>
      </c>
      <c r="L15" s="60"/>
      <c r="M15" s="58">
        <f>AVERAGE(M8:M13)</f>
        <v>12.699252585456065</v>
      </c>
      <c r="N15" s="59">
        <f>AVERAGE(N8:N13)</f>
        <v>11.34885145339471</v>
      </c>
      <c r="O15" s="60"/>
      <c r="P15" s="61">
        <f t="shared" ref="P15:Q15" si="12">AVERAGE(P8:P12)</f>
        <v>0.13835744430028238</v>
      </c>
      <c r="Q15" s="59">
        <f t="shared" si="12"/>
        <v>1.5017531245957485</v>
      </c>
      <c r="R15" s="58">
        <f>AVERAGE(R8:R13)</f>
        <v>18.429922002412916</v>
      </c>
      <c r="S15" s="59">
        <f>AVERAGE(S8:S13)</f>
        <v>17.312131530801629</v>
      </c>
      <c r="T15" s="60"/>
    </row>
    <row r="16" spans="1:20" ht="17" thickBot="1" x14ac:dyDescent="0.25">
      <c r="A16" s="62" t="s">
        <v>77</v>
      </c>
      <c r="B16" s="63"/>
      <c r="C16" s="64"/>
      <c r="D16" s="64"/>
      <c r="E16" s="64"/>
      <c r="F16" s="64"/>
      <c r="G16" s="65">
        <f>MEDIAN(G8:G12)</f>
        <v>1.6786441464629691</v>
      </c>
      <c r="H16" s="66">
        <f t="shared" ref="H16:S16" si="13">MEDIAN(H8:H12)</f>
        <v>1.6085259897549935</v>
      </c>
      <c r="I16" s="67"/>
      <c r="J16" s="65">
        <f t="shared" si="13"/>
        <v>11.636745188164321</v>
      </c>
      <c r="K16" s="66">
        <f t="shared" si="13"/>
        <v>10.942061048082119</v>
      </c>
      <c r="L16" s="67"/>
      <c r="M16" s="65">
        <f t="shared" si="13"/>
        <v>13.316078238001316</v>
      </c>
      <c r="N16" s="66">
        <f t="shared" si="13"/>
        <v>11.855959247648903</v>
      </c>
      <c r="O16" s="67"/>
      <c r="P16" s="68">
        <f t="shared" si="13"/>
        <v>0.14462401581078066</v>
      </c>
      <c r="Q16" s="66">
        <f t="shared" si="13"/>
        <v>1.5311692042516518</v>
      </c>
      <c r="R16" s="65">
        <f t="shared" si="13"/>
        <v>17.84062059238364</v>
      </c>
      <c r="S16" s="66">
        <f t="shared" si="13"/>
        <v>17.992887624466569</v>
      </c>
      <c r="T16" s="67"/>
    </row>
    <row r="19" spans="1:14" x14ac:dyDescent="0.2">
      <c r="C19" t="s">
        <v>1131</v>
      </c>
      <c r="G19" t="s">
        <v>1114</v>
      </c>
      <c r="H19" t="s">
        <v>1</v>
      </c>
      <c r="I19" t="s">
        <v>1114</v>
      </c>
      <c r="J19" t="s">
        <v>1</v>
      </c>
      <c r="K19" t="s">
        <v>1114</v>
      </c>
      <c r="L19" t="s">
        <v>1</v>
      </c>
      <c r="M19" t="s">
        <v>1114</v>
      </c>
      <c r="N19" t="s">
        <v>1</v>
      </c>
    </row>
    <row r="20" spans="1:14" x14ac:dyDescent="0.2">
      <c r="A20" s="69" t="s">
        <v>1117</v>
      </c>
      <c r="B20" s="69" t="s">
        <v>1132</v>
      </c>
      <c r="C20" s="69" t="s">
        <v>1133</v>
      </c>
      <c r="D20" s="69" t="s">
        <v>1134</v>
      </c>
      <c r="E20" s="69" t="s">
        <v>1135</v>
      </c>
      <c r="F20" s="69" t="s">
        <v>1136</v>
      </c>
      <c r="G20" s="70" t="s">
        <v>1087</v>
      </c>
      <c r="H20" s="70" t="s">
        <v>1087</v>
      </c>
      <c r="I20" s="70" t="s">
        <v>1137</v>
      </c>
      <c r="J20" s="70" t="s">
        <v>1137</v>
      </c>
      <c r="K20" s="70" t="s">
        <v>1138</v>
      </c>
      <c r="L20" s="70" t="s">
        <v>1138</v>
      </c>
      <c r="M20" s="70" t="s">
        <v>1079</v>
      </c>
      <c r="N20" s="70" t="s">
        <v>1079</v>
      </c>
    </row>
    <row r="21" spans="1:14" x14ac:dyDescent="0.2">
      <c r="A21" s="4" t="s">
        <v>141</v>
      </c>
      <c r="B21" s="366">
        <v>228</v>
      </c>
      <c r="C21" s="366">
        <v>305.49</v>
      </c>
      <c r="D21" s="366">
        <v>15261</v>
      </c>
      <c r="E21" s="366">
        <v>0</v>
      </c>
      <c r="F21" s="366">
        <v>1090</v>
      </c>
      <c r="G21" s="366">
        <v>45061</v>
      </c>
      <c r="H21" s="367">
        <v>50447</v>
      </c>
      <c r="I21" s="366">
        <v>6652</v>
      </c>
      <c r="J21" s="367">
        <v>6985</v>
      </c>
      <c r="K21" s="366">
        <v>5651</v>
      </c>
      <c r="L21" s="367">
        <v>5770.14</v>
      </c>
      <c r="M21" s="366">
        <v>11.27</v>
      </c>
      <c r="N21" s="367">
        <v>11.78</v>
      </c>
    </row>
    <row r="22" spans="1:14" x14ac:dyDescent="0.2">
      <c r="A22" t="s">
        <v>1123</v>
      </c>
      <c r="B22" s="364">
        <v>203.88</v>
      </c>
      <c r="C22" s="364">
        <v>180.94</v>
      </c>
      <c r="D22" s="364">
        <v>6416</v>
      </c>
      <c r="E22" s="364">
        <v>0</v>
      </c>
      <c r="F22" s="364">
        <v>2319</v>
      </c>
      <c r="G22" s="364">
        <v>24088</v>
      </c>
      <c r="H22" s="323">
        <v>24720</v>
      </c>
      <c r="I22" s="364">
        <v>3314</v>
      </c>
      <c r="J22" s="323">
        <v>3442</v>
      </c>
      <c r="K22" s="364">
        <v>2862</v>
      </c>
      <c r="L22" s="323">
        <v>2902</v>
      </c>
      <c r="M22" s="323">
        <v>9.68</v>
      </c>
      <c r="N22" s="323">
        <v>10.220000000000001</v>
      </c>
    </row>
    <row r="23" spans="1:14" x14ac:dyDescent="0.2">
      <c r="A23" t="s">
        <v>1125</v>
      </c>
      <c r="B23" s="364">
        <v>129.99</v>
      </c>
      <c r="C23" s="364">
        <v>299</v>
      </c>
      <c r="D23" s="364">
        <v>5330</v>
      </c>
      <c r="E23" s="364">
        <v>557</v>
      </c>
      <c r="F23" s="364">
        <v>3200</v>
      </c>
      <c r="G23" s="364">
        <v>22606</v>
      </c>
      <c r="H23" s="323">
        <v>25183</v>
      </c>
      <c r="I23" s="364">
        <v>3481</v>
      </c>
      <c r="J23" s="323">
        <v>3702</v>
      </c>
      <c r="K23" s="364">
        <v>3042</v>
      </c>
      <c r="L23" s="323">
        <v>3190</v>
      </c>
      <c r="M23" s="323">
        <v>7.09</v>
      </c>
      <c r="N23" s="323">
        <v>7.03</v>
      </c>
    </row>
    <row r="24" spans="1:14" x14ac:dyDescent="0.2">
      <c r="A24" t="s">
        <v>1127</v>
      </c>
      <c r="B24" s="323">
        <v>155.5</v>
      </c>
      <c r="C24" s="364">
        <v>662.5</v>
      </c>
      <c r="D24" s="364">
        <v>9964</v>
      </c>
      <c r="E24" s="364">
        <v>62</v>
      </c>
      <c r="F24" s="364">
        <v>12052</v>
      </c>
      <c r="G24" s="364">
        <v>92446</v>
      </c>
      <c r="H24" s="323">
        <v>96229</v>
      </c>
      <c r="I24" s="364">
        <v>9982</v>
      </c>
      <c r="J24" s="323">
        <v>10436</v>
      </c>
      <c r="K24" s="364">
        <v>8065</v>
      </c>
      <c r="L24" s="323">
        <v>8522.8700000000008</v>
      </c>
      <c r="M24" s="323">
        <v>8.08</v>
      </c>
      <c r="N24" s="323">
        <v>8.76</v>
      </c>
    </row>
    <row r="25" spans="1:14" x14ac:dyDescent="0.2">
      <c r="A25" t="s">
        <v>1129</v>
      </c>
      <c r="B25" s="364">
        <v>153.76</v>
      </c>
      <c r="C25" s="364">
        <v>311.16000000000003</v>
      </c>
      <c r="D25" s="364">
        <v>3399</v>
      </c>
      <c r="E25" s="364">
        <v>0</v>
      </c>
      <c r="F25" s="364">
        <v>2785</v>
      </c>
      <c r="G25" s="364">
        <v>31371</v>
      </c>
      <c r="H25" s="323">
        <v>32048</v>
      </c>
      <c r="I25" s="364">
        <v>4537</v>
      </c>
      <c r="J25" s="323">
        <v>4723.6000000000004</v>
      </c>
      <c r="K25" s="364">
        <v>4042</v>
      </c>
      <c r="L25" s="323">
        <v>4219</v>
      </c>
      <c r="M25" s="323">
        <v>8.01</v>
      </c>
      <c r="N25" s="323">
        <v>9.3800000000000008</v>
      </c>
    </row>
    <row r="26" spans="1:14" x14ac:dyDescent="0.2">
      <c r="B26" s="365"/>
      <c r="C26" s="365"/>
      <c r="D26" s="365"/>
      <c r="E26" s="365"/>
      <c r="F26" s="365"/>
      <c r="G26" s="365"/>
      <c r="H26" s="322"/>
      <c r="I26" s="365"/>
      <c r="J26" s="322"/>
      <c r="K26" s="365"/>
      <c r="L26" s="322"/>
      <c r="M26" s="322"/>
      <c r="N26" s="322"/>
    </row>
    <row r="30" spans="1:14" x14ac:dyDescent="0.2">
      <c r="A30" s="49" t="s">
        <v>1139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</row>
    <row r="31" spans="1:14" x14ac:dyDescent="0.2">
      <c r="A31" s="49" t="s">
        <v>1140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</row>
    <row r="32" spans="1:14" x14ac:dyDescent="0.2">
      <c r="J32" s="71" t="s">
        <v>1141</v>
      </c>
    </row>
    <row r="33" spans="1:12" x14ac:dyDescent="0.2">
      <c r="A33" s="12"/>
      <c r="B33" s="72"/>
      <c r="C33" s="460" t="s">
        <v>1142</v>
      </c>
      <c r="D33" s="460"/>
      <c r="E33" s="460" t="s">
        <v>1143</v>
      </c>
      <c r="F33" s="460"/>
      <c r="G33" s="72" t="s">
        <v>1144</v>
      </c>
      <c r="H33" s="460" t="s">
        <v>1145</v>
      </c>
      <c r="I33" s="460"/>
      <c r="J33" s="73" t="s">
        <v>1146</v>
      </c>
      <c r="K33" s="460" t="s">
        <v>1145</v>
      </c>
      <c r="L33" s="460"/>
    </row>
    <row r="34" spans="1:12" x14ac:dyDescent="0.2">
      <c r="A34" s="8"/>
      <c r="B34" s="74" t="s">
        <v>330</v>
      </c>
      <c r="C34" s="458" t="s">
        <v>1147</v>
      </c>
      <c r="D34" s="458"/>
      <c r="E34" s="459" t="s">
        <v>1148</v>
      </c>
      <c r="F34" s="459"/>
      <c r="G34" s="74" t="s">
        <v>1149</v>
      </c>
      <c r="H34" s="459" t="s">
        <v>1150</v>
      </c>
      <c r="I34" s="459"/>
      <c r="J34" s="75" t="s">
        <v>1151</v>
      </c>
      <c r="K34" s="459" t="s">
        <v>1152</v>
      </c>
      <c r="L34" s="459"/>
    </row>
    <row r="35" spans="1:12" x14ac:dyDescent="0.2">
      <c r="A35" s="324" t="s">
        <v>1114</v>
      </c>
      <c r="B35" s="325">
        <f>I21</f>
        <v>6652</v>
      </c>
      <c r="C35" s="326">
        <f>MIN(J8:J12)</f>
        <v>8.4967441394510139</v>
      </c>
      <c r="D35" s="327">
        <f>J15</f>
        <v>10.894653543807237</v>
      </c>
      <c r="E35" s="328">
        <f>C35*B35</f>
        <v>56520.342015628143</v>
      </c>
      <c r="F35" s="329">
        <f>D35*B35</f>
        <v>72471.23537340574</v>
      </c>
      <c r="G35" s="330">
        <f>D21+E21-F21</f>
        <v>14171</v>
      </c>
      <c r="H35" s="331">
        <f>E35-G35</f>
        <v>42349.342015628143</v>
      </c>
      <c r="I35" s="332">
        <f>F35-G35</f>
        <v>58300.23537340574</v>
      </c>
      <c r="J35" s="333">
        <f>C21</f>
        <v>305.49</v>
      </c>
      <c r="K35" s="334">
        <f>H35/J35</f>
        <v>138.62758851559181</v>
      </c>
      <c r="L35" s="335">
        <f>I35/J35</f>
        <v>190.84171453535546</v>
      </c>
    </row>
    <row r="36" spans="1:12" x14ac:dyDescent="0.2">
      <c r="A36" s="336" t="s">
        <v>1</v>
      </c>
      <c r="B36" s="337">
        <f>J21</f>
        <v>6985</v>
      </c>
      <c r="C36" s="338">
        <f>MIN(K8:K12)</f>
        <v>8.1271080873898054</v>
      </c>
      <c r="D36" s="339">
        <f>K15</f>
        <v>10.395632248172809</v>
      </c>
      <c r="E36" s="340">
        <f>C36*B36</f>
        <v>56767.849990417788</v>
      </c>
      <c r="F36" s="341">
        <f>D36*B36</f>
        <v>72613.491253487067</v>
      </c>
      <c r="G36" s="342">
        <f>D21+E21-F21</f>
        <v>14171</v>
      </c>
      <c r="H36" s="340">
        <f>E36-G36</f>
        <v>42596.849990417788</v>
      </c>
      <c r="I36" s="343">
        <f>F36-G36</f>
        <v>58442.491253487067</v>
      </c>
      <c r="J36" s="344">
        <f>C21</f>
        <v>305.49</v>
      </c>
      <c r="K36" s="345">
        <f>H36/J36</f>
        <v>139.43778843961434</v>
      </c>
      <c r="L36" s="346">
        <f>I36/J36</f>
        <v>191.30737914002771</v>
      </c>
    </row>
    <row r="37" spans="1:12" x14ac:dyDescent="0.2">
      <c r="A37" s="347" t="s">
        <v>2</v>
      </c>
      <c r="B37" s="348"/>
      <c r="C37" s="349"/>
      <c r="D37" s="350"/>
      <c r="E37" s="348"/>
      <c r="F37" s="348"/>
      <c r="G37" s="348"/>
      <c r="H37" s="351"/>
      <c r="I37" s="352"/>
      <c r="J37" s="353"/>
      <c r="K37" s="348"/>
      <c r="L37" s="354"/>
    </row>
    <row r="39" spans="1:12" x14ac:dyDescent="0.2">
      <c r="J39" s="71" t="s">
        <v>1141</v>
      </c>
    </row>
    <row r="40" spans="1:12" x14ac:dyDescent="0.2">
      <c r="A40" s="12"/>
      <c r="B40" s="72"/>
      <c r="C40" s="460" t="s">
        <v>1153</v>
      </c>
      <c r="D40" s="460"/>
      <c r="E40" s="460" t="s">
        <v>1143</v>
      </c>
      <c r="F40" s="460"/>
      <c r="G40" s="72" t="s">
        <v>1144</v>
      </c>
      <c r="H40" s="460" t="s">
        <v>1145</v>
      </c>
      <c r="I40" s="460"/>
      <c r="J40" s="73" t="s">
        <v>1146</v>
      </c>
      <c r="K40" s="460" t="s">
        <v>1145</v>
      </c>
      <c r="L40" s="460"/>
    </row>
    <row r="41" spans="1:12" x14ac:dyDescent="0.2">
      <c r="A41" s="8"/>
      <c r="B41" s="74" t="s">
        <v>19</v>
      </c>
      <c r="C41" s="458" t="s">
        <v>1147</v>
      </c>
      <c r="D41" s="458"/>
      <c r="E41" s="459" t="s">
        <v>1148</v>
      </c>
      <c r="F41" s="459"/>
      <c r="G41" s="74" t="s">
        <v>1149</v>
      </c>
      <c r="H41" s="459" t="s">
        <v>1150</v>
      </c>
      <c r="I41" s="459"/>
      <c r="J41" s="75" t="s">
        <v>1151</v>
      </c>
      <c r="K41" s="459" t="s">
        <v>1152</v>
      </c>
      <c r="L41" s="459"/>
    </row>
    <row r="42" spans="1:12" x14ac:dyDescent="0.2">
      <c r="A42" s="324" t="str">
        <f>A35</f>
        <v>T12M</v>
      </c>
      <c r="B42" s="325">
        <f>L21</f>
        <v>5770.14</v>
      </c>
      <c r="C42" s="326">
        <f>MIN(M8:M12)</f>
        <v>10.516367017978924</v>
      </c>
      <c r="D42" s="327">
        <f>M15</f>
        <v>12.699252585456065</v>
      </c>
      <c r="E42" s="328">
        <f>C42*B42</f>
        <v>60680.90998512091</v>
      </c>
      <c r="F42" s="329">
        <f>D42*B42</f>
        <v>73276.465313443463</v>
      </c>
      <c r="G42" s="330">
        <f>G36</f>
        <v>14171</v>
      </c>
      <c r="H42" s="331">
        <f>E42-G42</f>
        <v>46509.90998512091</v>
      </c>
      <c r="I42" s="332">
        <f>F42-G42</f>
        <v>59105.465313443463</v>
      </c>
      <c r="J42" s="333">
        <f>C21</f>
        <v>305.49</v>
      </c>
      <c r="K42" s="334">
        <f>H42/J42</f>
        <v>152.24691474392259</v>
      </c>
      <c r="L42" s="335">
        <f>I42/J43</f>
        <v>193.47757803346579</v>
      </c>
    </row>
    <row r="43" spans="1:12" x14ac:dyDescent="0.2">
      <c r="A43" s="336" t="str">
        <f>A36</f>
        <v>2016E</v>
      </c>
      <c r="B43" s="337">
        <f>L21</f>
        <v>5770.14</v>
      </c>
      <c r="C43" s="338">
        <f>MIN(N8:N12)</f>
        <v>10.170410997866794</v>
      </c>
      <c r="D43" s="339">
        <f>N15</f>
        <v>11.34885145339471</v>
      </c>
      <c r="E43" s="355">
        <f>C43*B43</f>
        <v>58684.695315231103</v>
      </c>
      <c r="F43" s="356">
        <f>D43*B43</f>
        <v>65484.461725290959</v>
      </c>
      <c r="G43" s="342">
        <f>G36</f>
        <v>14171</v>
      </c>
      <c r="H43" s="340">
        <f>E43-G43</f>
        <v>44513.695315231103</v>
      </c>
      <c r="I43" s="357">
        <f>F43-G43</f>
        <v>51313.461725290959</v>
      </c>
      <c r="J43" s="344">
        <f>C21</f>
        <v>305.49</v>
      </c>
      <c r="K43" s="345">
        <f>H43/J43</f>
        <v>145.71244661112019</v>
      </c>
      <c r="L43" s="346">
        <f>I43/J43</f>
        <v>167.97100306160908</v>
      </c>
    </row>
    <row r="44" spans="1:12" x14ac:dyDescent="0.2">
      <c r="A44" s="347" t="str">
        <f>A37</f>
        <v>2017E</v>
      </c>
      <c r="B44" s="348"/>
      <c r="C44" s="349"/>
      <c r="D44" s="350"/>
      <c r="E44" s="348"/>
      <c r="F44" s="348"/>
      <c r="G44" s="348"/>
      <c r="H44" s="351"/>
      <c r="I44" s="352"/>
      <c r="J44" s="353"/>
      <c r="K44" s="348"/>
      <c r="L44" s="354"/>
    </row>
    <row r="45" spans="1:12" x14ac:dyDescent="0.2">
      <c r="A45" s="2"/>
      <c r="B45" s="76"/>
      <c r="C45" s="77"/>
      <c r="D45" s="78"/>
      <c r="E45" s="79"/>
      <c r="F45" s="80"/>
      <c r="G45" s="81"/>
      <c r="H45" s="79"/>
      <c r="I45" s="82"/>
      <c r="J45" s="76"/>
      <c r="K45" s="83"/>
      <c r="L45" s="84"/>
    </row>
    <row r="46" spans="1:12" x14ac:dyDescent="0.2">
      <c r="G46" s="71" t="s">
        <v>1141</v>
      </c>
    </row>
    <row r="47" spans="1:12" x14ac:dyDescent="0.2">
      <c r="A47" s="12"/>
      <c r="B47" s="72"/>
      <c r="C47" s="460" t="s">
        <v>58</v>
      </c>
      <c r="D47" s="460"/>
      <c r="E47" s="460" t="s">
        <v>1143</v>
      </c>
      <c r="F47" s="460"/>
      <c r="G47" s="73" t="s">
        <v>1146</v>
      </c>
      <c r="H47" s="460" t="s">
        <v>1145</v>
      </c>
      <c r="I47" s="460"/>
      <c r="J47" s="72" t="s">
        <v>1154</v>
      </c>
      <c r="K47" s="460" t="s">
        <v>1145</v>
      </c>
      <c r="L47" s="460"/>
    </row>
    <row r="48" spans="1:12" x14ac:dyDescent="0.2">
      <c r="A48" s="8"/>
      <c r="B48" s="74" t="s">
        <v>1079</v>
      </c>
      <c r="C48" s="458" t="s">
        <v>1147</v>
      </c>
      <c r="D48" s="458"/>
      <c r="E48" s="459" t="s">
        <v>1152</v>
      </c>
      <c r="F48" s="459"/>
      <c r="G48" s="75" t="s">
        <v>1151</v>
      </c>
      <c r="H48" s="459" t="s">
        <v>1150</v>
      </c>
      <c r="I48" s="459"/>
      <c r="J48" s="74" t="s">
        <v>1149</v>
      </c>
      <c r="K48" s="459" t="s">
        <v>1148</v>
      </c>
      <c r="L48" s="459"/>
    </row>
    <row r="49" spans="1:12" x14ac:dyDescent="0.2">
      <c r="A49" s="324" t="str">
        <f>A42</f>
        <v>T12M</v>
      </c>
      <c r="B49" s="358">
        <f>M21</f>
        <v>11.27</v>
      </c>
      <c r="C49" s="326">
        <f>MIN(M8:M12)</f>
        <v>10.516367017978924</v>
      </c>
      <c r="D49" s="327">
        <f>R15</f>
        <v>18.429922002412916</v>
      </c>
      <c r="E49" s="334">
        <f>C49*B49</f>
        <v>118.51945629262246</v>
      </c>
      <c r="F49" s="359">
        <f>D49*B49</f>
        <v>207.70522096719355</v>
      </c>
      <c r="G49" s="333">
        <f>C21</f>
        <v>305.49</v>
      </c>
      <c r="H49" s="331">
        <f>E49*G49</f>
        <v>36206.508702833235</v>
      </c>
      <c r="I49" s="332">
        <f>F49*G49</f>
        <v>63451.86795326796</v>
      </c>
      <c r="J49" s="330">
        <f>G35</f>
        <v>14171</v>
      </c>
      <c r="K49" s="328">
        <f>H49+J49</f>
        <v>50377.508702833235</v>
      </c>
      <c r="L49" s="360">
        <f>I49+J49</f>
        <v>77622.867953267967</v>
      </c>
    </row>
    <row r="50" spans="1:12" x14ac:dyDescent="0.2">
      <c r="A50" s="336" t="str">
        <f>A43</f>
        <v>2016E</v>
      </c>
      <c r="B50" s="361">
        <f>N21</f>
        <v>11.78</v>
      </c>
      <c r="C50" s="338">
        <f>MIN(N21:N25)</f>
        <v>7.03</v>
      </c>
      <c r="D50" s="339">
        <f>S15</f>
        <v>17.312131530801629</v>
      </c>
      <c r="E50" s="345">
        <f>C50*B50</f>
        <v>82.813400000000001</v>
      </c>
      <c r="F50" s="362">
        <f>D50*B50</f>
        <v>203.93690943284318</v>
      </c>
      <c r="G50" s="344">
        <f>C21</f>
        <v>305.49</v>
      </c>
      <c r="H50" s="340">
        <f>E50*G50</f>
        <v>25298.665566</v>
      </c>
      <c r="I50" s="343">
        <f>F50*G50</f>
        <v>62300.686462639263</v>
      </c>
      <c r="J50" s="342">
        <f>G36</f>
        <v>14171</v>
      </c>
      <c r="K50" s="355">
        <f>H50+J50</f>
        <v>39469.665565999996</v>
      </c>
      <c r="L50" s="363">
        <f>I50+J50</f>
        <v>76471.686462639263</v>
      </c>
    </row>
    <row r="51" spans="1:12" x14ac:dyDescent="0.2">
      <c r="A51" s="347" t="str">
        <f>A44</f>
        <v>2017E</v>
      </c>
      <c r="B51" s="348"/>
      <c r="C51" s="349"/>
      <c r="D51" s="350"/>
      <c r="E51" s="348"/>
      <c r="F51" s="348"/>
      <c r="G51" s="348"/>
      <c r="H51" s="351"/>
      <c r="I51" s="352"/>
      <c r="J51" s="353"/>
      <c r="K51" s="348"/>
      <c r="L51" s="354"/>
    </row>
  </sheetData>
  <mergeCells count="26">
    <mergeCell ref="G5:O5"/>
    <mergeCell ref="R5:T5"/>
    <mergeCell ref="C33:D33"/>
    <mergeCell ref="E33:F33"/>
    <mergeCell ref="H33:I33"/>
    <mergeCell ref="K33:L33"/>
    <mergeCell ref="C34:D34"/>
    <mergeCell ref="E34:F34"/>
    <mergeCell ref="H34:I34"/>
    <mergeCell ref="K34:L34"/>
    <mergeCell ref="C40:D40"/>
    <mergeCell ref="E40:F40"/>
    <mergeCell ref="H40:I40"/>
    <mergeCell ref="K40:L40"/>
    <mergeCell ref="C48:D48"/>
    <mergeCell ref="E48:F48"/>
    <mergeCell ref="H48:I48"/>
    <mergeCell ref="K48:L48"/>
    <mergeCell ref="C41:D41"/>
    <mergeCell ref="E41:F41"/>
    <mergeCell ref="H41:I41"/>
    <mergeCell ref="K41:L41"/>
    <mergeCell ref="C47:D47"/>
    <mergeCell ref="E47:F47"/>
    <mergeCell ref="H47:I47"/>
    <mergeCell ref="K47:L47"/>
  </mergeCells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0"/>
  <sheetViews>
    <sheetView showGridLines="0" tabSelected="1" workbookViewId="0">
      <selection activeCell="D6" sqref="D6"/>
    </sheetView>
  </sheetViews>
  <sheetFormatPr baseColWidth="10" defaultRowHeight="16" x14ac:dyDescent="0.2"/>
  <cols>
    <col min="2" max="2" width="13.5" bestFit="1" customWidth="1"/>
  </cols>
  <sheetData>
    <row r="1" spans="1:9" x14ac:dyDescent="0.2">
      <c r="A1" s="469" t="s">
        <v>1175</v>
      </c>
      <c r="B1" s="469"/>
      <c r="C1" s="469"/>
      <c r="D1" s="469"/>
      <c r="E1" s="469"/>
      <c r="F1" s="469"/>
      <c r="G1" s="469"/>
      <c r="H1" s="469"/>
      <c r="I1" s="469"/>
    </row>
    <row r="2" spans="1:9" x14ac:dyDescent="0.2">
      <c r="A2" s="469"/>
      <c r="B2" s="469"/>
      <c r="C2" s="469"/>
      <c r="D2" s="469"/>
      <c r="E2" s="469"/>
      <c r="F2" s="469"/>
      <c r="G2" s="469"/>
      <c r="H2" s="469"/>
      <c r="I2" s="469"/>
    </row>
    <row r="3" spans="1:9" x14ac:dyDescent="0.2">
      <c r="A3" s="469"/>
      <c r="B3" s="469"/>
      <c r="C3" s="469"/>
      <c r="D3" s="469"/>
      <c r="E3" s="469"/>
      <c r="F3" s="469"/>
      <c r="G3" s="469"/>
      <c r="H3" s="469"/>
      <c r="I3" s="469"/>
    </row>
    <row r="4" spans="1:9" x14ac:dyDescent="0.2">
      <c r="A4" s="473" t="s">
        <v>1174</v>
      </c>
      <c r="B4" s="449" t="s">
        <v>31</v>
      </c>
      <c r="C4" s="470" t="s">
        <v>1176</v>
      </c>
      <c r="D4" s="471"/>
      <c r="E4" s="471"/>
      <c r="F4" s="471"/>
      <c r="G4" s="471"/>
      <c r="H4" s="471"/>
      <c r="I4" s="472"/>
    </row>
    <row r="5" spans="1:9" x14ac:dyDescent="0.2">
      <c r="A5" s="474"/>
      <c r="B5" s="450">
        <v>6.79</v>
      </c>
      <c r="C5" s="448">
        <v>3.5000000000000003E-2</v>
      </c>
      <c r="D5" s="448">
        <v>0.04</v>
      </c>
      <c r="E5" s="448">
        <v>4.4999999999999998E-2</v>
      </c>
      <c r="F5" s="448">
        <v>4.8500000000000001E-2</v>
      </c>
      <c r="G5" s="448">
        <v>5.5E-2</v>
      </c>
      <c r="H5" s="448">
        <v>0.06</v>
      </c>
      <c r="I5" s="448">
        <v>6.5000000000000002E-2</v>
      </c>
    </row>
    <row r="6" spans="1:9" ht="15" customHeight="1" x14ac:dyDescent="0.2">
      <c r="A6" s="474"/>
      <c r="B6" s="446">
        <v>0</v>
      </c>
      <c r="C6" s="445">
        <f>$B$5/(C$5-B6)</f>
        <v>193.99999999999997</v>
      </c>
      <c r="D6" s="451">
        <f>$B$5/(D$5-B6)</f>
        <v>169.75</v>
      </c>
      <c r="E6" s="43">
        <f>$B$5/(E$5-B6)</f>
        <v>150.88888888888889</v>
      </c>
      <c r="F6" s="43">
        <f>$B$5/(F$5-B6)</f>
        <v>140</v>
      </c>
      <c r="G6" s="43">
        <f>$B$5/(G$5-B6)</f>
        <v>123.45454545454545</v>
      </c>
      <c r="H6" s="43">
        <f>$B$5/(H$5-B6)</f>
        <v>113.16666666666667</v>
      </c>
      <c r="I6" s="43">
        <f>$B$5/(I$5-B6)</f>
        <v>104.46153846153845</v>
      </c>
    </row>
    <row r="7" spans="1:9" x14ac:dyDescent="0.2">
      <c r="A7" s="474"/>
      <c r="B7" s="447">
        <v>5.0000000000000001E-3</v>
      </c>
      <c r="C7" s="445">
        <f t="shared" ref="C7:C16" si="0">$B$5/(C$5-B7)</f>
        <v>226.33333333333331</v>
      </c>
      <c r="D7" s="451">
        <f t="shared" ref="D7:D16" si="1">$B$5/(D$5-B7)</f>
        <v>193.99999999999997</v>
      </c>
      <c r="E7" s="43">
        <f t="shared" ref="E7:E16" si="2">$B$5/(E$5-B7)</f>
        <v>169.75</v>
      </c>
      <c r="F7" s="43">
        <f t="shared" ref="F7:F16" si="3">$B$5/(F$5-B7)</f>
        <v>156.09195402298849</v>
      </c>
      <c r="G7" s="43">
        <f t="shared" ref="G7:G16" si="4">$B$5/(G$5-B7)</f>
        <v>135.79999999999998</v>
      </c>
      <c r="H7" s="43">
        <f t="shared" ref="H7:H16" si="5">$B$5/(H$5-B7)</f>
        <v>123.45454545454545</v>
      </c>
      <c r="I7" s="43">
        <f t="shared" ref="I7:I16" si="6">$B$5/(I$5-B7)</f>
        <v>113.16666666666666</v>
      </c>
    </row>
    <row r="8" spans="1:9" x14ac:dyDescent="0.2">
      <c r="A8" s="474"/>
      <c r="B8" s="447">
        <v>0.01</v>
      </c>
      <c r="C8" s="445">
        <f t="shared" si="0"/>
        <v>271.59999999999997</v>
      </c>
      <c r="D8" s="451">
        <f t="shared" si="1"/>
        <v>226.33333333333334</v>
      </c>
      <c r="E8" s="43">
        <f t="shared" si="2"/>
        <v>194.00000000000003</v>
      </c>
      <c r="F8" s="43">
        <f t="shared" si="3"/>
        <v>176.36363636363637</v>
      </c>
      <c r="G8" s="43">
        <f t="shared" si="4"/>
        <v>150.88888888888889</v>
      </c>
      <c r="H8" s="43">
        <f t="shared" si="5"/>
        <v>135.80000000000001</v>
      </c>
      <c r="I8" s="43">
        <f t="shared" si="6"/>
        <v>123.45454545454545</v>
      </c>
    </row>
    <row r="9" spans="1:9" x14ac:dyDescent="0.2">
      <c r="A9" s="474"/>
      <c r="B9" s="447">
        <v>1.4999999999999999E-2</v>
      </c>
      <c r="C9" s="445">
        <f t="shared" si="0"/>
        <v>339.49999999999994</v>
      </c>
      <c r="D9" s="451">
        <f t="shared" si="1"/>
        <v>271.59999999999997</v>
      </c>
      <c r="E9" s="43">
        <f t="shared" si="2"/>
        <v>226.33333333333334</v>
      </c>
      <c r="F9" s="43">
        <f t="shared" si="3"/>
        <v>202.68656716417908</v>
      </c>
      <c r="G9" s="43">
        <f t="shared" si="4"/>
        <v>169.75</v>
      </c>
      <c r="H9" s="43">
        <f t="shared" si="5"/>
        <v>150.88888888888889</v>
      </c>
      <c r="I9" s="43">
        <f t="shared" si="6"/>
        <v>135.79999999999998</v>
      </c>
    </row>
    <row r="10" spans="1:9" x14ac:dyDescent="0.2">
      <c r="A10" s="474"/>
      <c r="B10" s="447">
        <v>0.02</v>
      </c>
      <c r="C10" s="445">
        <f t="shared" si="0"/>
        <v>452.66666666666657</v>
      </c>
      <c r="D10" s="451">
        <f t="shared" si="1"/>
        <v>339.5</v>
      </c>
      <c r="E10" s="43">
        <f t="shared" si="2"/>
        <v>271.60000000000002</v>
      </c>
      <c r="F10" s="43">
        <f t="shared" si="3"/>
        <v>238.2456140350877</v>
      </c>
      <c r="G10" s="43">
        <f t="shared" si="4"/>
        <v>193.99999999999997</v>
      </c>
      <c r="H10" s="43">
        <f t="shared" si="5"/>
        <v>169.75000000000003</v>
      </c>
      <c r="I10" s="43">
        <f t="shared" si="6"/>
        <v>150.88888888888889</v>
      </c>
    </row>
    <row r="11" spans="1:9" x14ac:dyDescent="0.2">
      <c r="A11" s="474"/>
      <c r="B11" s="447">
        <v>2.5000000000000001E-2</v>
      </c>
      <c r="C11" s="445">
        <f t="shared" si="0"/>
        <v>678.99999999999989</v>
      </c>
      <c r="D11" s="451">
        <f t="shared" si="1"/>
        <v>452.66666666666669</v>
      </c>
      <c r="E11" s="43">
        <f t="shared" si="2"/>
        <v>339.50000000000006</v>
      </c>
      <c r="F11" s="43">
        <f t="shared" si="3"/>
        <v>288.93617021276594</v>
      </c>
      <c r="G11" s="43">
        <f t="shared" si="4"/>
        <v>226.33333333333334</v>
      </c>
      <c r="H11" s="43">
        <f t="shared" si="5"/>
        <v>194.00000000000003</v>
      </c>
      <c r="I11" s="43">
        <f t="shared" si="6"/>
        <v>169.75</v>
      </c>
    </row>
    <row r="12" spans="1:9" x14ac:dyDescent="0.2">
      <c r="A12" s="474"/>
      <c r="B12" s="447">
        <v>0.03</v>
      </c>
      <c r="C12" s="445">
        <f t="shared" si="0"/>
        <v>1357.9999999999989</v>
      </c>
      <c r="D12" s="451">
        <f t="shared" si="1"/>
        <v>678.99999999999989</v>
      </c>
      <c r="E12" s="43">
        <f t="shared" si="2"/>
        <v>452.66666666666669</v>
      </c>
      <c r="F12" s="43">
        <f t="shared" si="3"/>
        <v>367.02702702702697</v>
      </c>
      <c r="G12" s="43">
        <f t="shared" si="4"/>
        <v>271.59999999999997</v>
      </c>
      <c r="H12" s="43">
        <f t="shared" si="5"/>
        <v>226.33333333333334</v>
      </c>
      <c r="I12" s="43">
        <f t="shared" si="6"/>
        <v>193.99999999999997</v>
      </c>
    </row>
    <row r="13" spans="1:9" x14ac:dyDescent="0.2">
      <c r="A13" s="474"/>
      <c r="B13" s="447">
        <v>3.5000000000000003E-2</v>
      </c>
      <c r="C13" s="445" t="e">
        <f t="shared" si="0"/>
        <v>#DIV/0!</v>
      </c>
      <c r="D13" s="451">
        <f t="shared" si="1"/>
        <v>1358.0000000000007</v>
      </c>
      <c r="E13" s="43">
        <f t="shared" si="2"/>
        <v>679.00000000000034</v>
      </c>
      <c r="F13" s="43">
        <f t="shared" si="3"/>
        <v>502.96296296296305</v>
      </c>
      <c r="G13" s="43">
        <f t="shared" si="4"/>
        <v>339.50000000000006</v>
      </c>
      <c r="H13" s="43">
        <f t="shared" si="5"/>
        <v>271.60000000000008</v>
      </c>
      <c r="I13" s="43">
        <f t="shared" si="6"/>
        <v>226.33333333333334</v>
      </c>
    </row>
    <row r="14" spans="1:9" x14ac:dyDescent="0.2">
      <c r="A14" s="474"/>
      <c r="B14" s="447">
        <v>0.04</v>
      </c>
      <c r="C14" s="445">
        <f t="shared" si="0"/>
        <v>-1358.0000000000007</v>
      </c>
      <c r="D14" s="451" t="e">
        <f t="shared" si="1"/>
        <v>#DIV/0!</v>
      </c>
      <c r="E14" s="43">
        <f t="shared" si="2"/>
        <v>1358.0000000000007</v>
      </c>
      <c r="F14" s="43">
        <f t="shared" si="3"/>
        <v>798.82352941176464</v>
      </c>
      <c r="G14" s="43">
        <f t="shared" si="4"/>
        <v>452.66666666666669</v>
      </c>
      <c r="H14" s="43">
        <f t="shared" si="5"/>
        <v>339.50000000000006</v>
      </c>
      <c r="I14" s="43">
        <f t="shared" si="6"/>
        <v>271.59999999999997</v>
      </c>
    </row>
    <row r="15" spans="1:9" x14ac:dyDescent="0.2">
      <c r="A15" s="474"/>
      <c r="B15" s="447">
        <v>4.4999999999999998E-2</v>
      </c>
      <c r="C15" s="445">
        <f t="shared" si="0"/>
        <v>-679.00000000000034</v>
      </c>
      <c r="D15" s="451">
        <f t="shared" si="1"/>
        <v>-1358.0000000000007</v>
      </c>
      <c r="E15" s="43" t="e">
        <f t="shared" si="2"/>
        <v>#DIV/0!</v>
      </c>
      <c r="F15" s="43">
        <f t="shared" si="3"/>
        <v>1939.9999999999982</v>
      </c>
      <c r="G15" s="43">
        <f t="shared" si="4"/>
        <v>678.99999999999989</v>
      </c>
      <c r="H15" s="43">
        <f t="shared" si="5"/>
        <v>452.66666666666669</v>
      </c>
      <c r="I15" s="43">
        <f t="shared" si="6"/>
        <v>339.49999999999994</v>
      </c>
    </row>
    <row r="16" spans="1:9" x14ac:dyDescent="0.2">
      <c r="A16" s="475"/>
      <c r="B16" s="447">
        <v>0.05</v>
      </c>
      <c r="C16" s="445">
        <f t="shared" si="0"/>
        <v>-452.66666666666669</v>
      </c>
      <c r="D16" s="451">
        <f t="shared" si="1"/>
        <v>-678.99999999999989</v>
      </c>
      <c r="E16" s="43">
        <f t="shared" si="2"/>
        <v>-1357.9999999999989</v>
      </c>
      <c r="F16" s="43">
        <f t="shared" si="3"/>
        <v>-4526.6666666666624</v>
      </c>
      <c r="G16" s="43">
        <f t="shared" si="4"/>
        <v>1358.0000000000007</v>
      </c>
      <c r="H16" s="43">
        <f t="shared" si="5"/>
        <v>679.00000000000034</v>
      </c>
      <c r="I16" s="43">
        <f t="shared" si="6"/>
        <v>452.66666666666669</v>
      </c>
    </row>
    <row r="20" spans="1:2" x14ac:dyDescent="0.2">
      <c r="A20" s="444"/>
      <c r="B20" s="444"/>
    </row>
  </sheetData>
  <mergeCells count="3">
    <mergeCell ref="A1:I3"/>
    <mergeCell ref="C4:I4"/>
    <mergeCell ref="A4:A16"/>
  </mergeCells>
  <phoneticPr fontId="1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10"/>
  <sheetViews>
    <sheetView showGridLines="0" workbookViewId="0">
      <selection activeCell="G13" sqref="G13"/>
    </sheetView>
  </sheetViews>
  <sheetFormatPr baseColWidth="10" defaultRowHeight="16" x14ac:dyDescent="0.2"/>
  <sheetData>
    <row r="2" spans="1:4" x14ac:dyDescent="0.2">
      <c r="A2" s="12" t="s">
        <v>1177</v>
      </c>
      <c r="B2" s="12" t="s">
        <v>103</v>
      </c>
      <c r="C2" s="12" t="s">
        <v>105</v>
      </c>
      <c r="D2" s="12" t="s">
        <v>1180</v>
      </c>
    </row>
    <row r="3" spans="1:4" x14ac:dyDescent="0.2">
      <c r="A3" s="454" t="s">
        <v>58</v>
      </c>
      <c r="B3" s="455">
        <v>21.39</v>
      </c>
      <c r="C3" s="455">
        <v>25.39</v>
      </c>
      <c r="D3" s="455"/>
    </row>
    <row r="4" spans="1:4" x14ac:dyDescent="0.2">
      <c r="A4" s="453" t="s">
        <v>60</v>
      </c>
      <c r="B4" s="452"/>
      <c r="C4" s="452"/>
      <c r="D4" s="452"/>
    </row>
    <row r="5" spans="1:4" x14ac:dyDescent="0.2">
      <c r="A5" s="453" t="s">
        <v>1178</v>
      </c>
      <c r="B5" s="452"/>
      <c r="C5" s="452"/>
      <c r="D5" s="452"/>
    </row>
    <row r="6" spans="1:4" x14ac:dyDescent="0.2">
      <c r="A6" s="453" t="s">
        <v>1181</v>
      </c>
      <c r="B6" s="452"/>
      <c r="C6" s="452"/>
      <c r="D6" s="452"/>
    </row>
    <row r="7" spans="1:4" x14ac:dyDescent="0.2">
      <c r="A7" s="453" t="s">
        <v>1181</v>
      </c>
      <c r="B7" s="452"/>
      <c r="C7" s="452"/>
      <c r="D7" s="452"/>
    </row>
    <row r="8" spans="1:4" x14ac:dyDescent="0.2">
      <c r="A8" s="453" t="s">
        <v>72</v>
      </c>
      <c r="B8" s="452"/>
      <c r="C8" s="452"/>
      <c r="D8" s="452"/>
    </row>
    <row r="9" spans="1:4" x14ac:dyDescent="0.2">
      <c r="A9" s="453" t="s">
        <v>1179</v>
      </c>
      <c r="B9" s="452"/>
      <c r="C9" s="452"/>
      <c r="D9" s="452"/>
    </row>
    <row r="10" spans="1:4" ht="17" thickBot="1" x14ac:dyDescent="0.25">
      <c r="A10" s="456" t="s">
        <v>77</v>
      </c>
      <c r="B10" s="457"/>
      <c r="C10" s="457"/>
      <c r="D10" s="45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6"/>
  <sheetViews>
    <sheetView showGridLines="0" workbookViewId="0">
      <selection activeCell="M33" sqref="M33"/>
    </sheetView>
  </sheetViews>
  <sheetFormatPr baseColWidth="10" defaultColWidth="11.1640625" defaultRowHeight="16" x14ac:dyDescent="0.2"/>
  <cols>
    <col min="1" max="1" width="18.33203125" bestFit="1" customWidth="1"/>
    <col min="2" max="2" width="10.6640625" customWidth="1"/>
    <col min="3" max="3" width="16.6640625" customWidth="1"/>
    <col min="4" max="12" width="10.6640625" customWidth="1"/>
    <col min="13" max="13" width="13.33203125" bestFit="1" customWidth="1"/>
    <col min="14" max="16" width="10.6640625" customWidth="1"/>
    <col min="17" max="17" width="5.83203125" customWidth="1"/>
    <col min="21" max="21" width="13.83203125" bestFit="1" customWidth="1"/>
    <col min="22" max="23" width="13.1640625" bestFit="1" customWidth="1"/>
  </cols>
  <sheetData>
    <row r="1" spans="1:31" x14ac:dyDescent="0.2">
      <c r="A1" s="210" t="s">
        <v>141</v>
      </c>
      <c r="B1" s="211"/>
      <c r="C1" s="212"/>
      <c r="D1" s="212"/>
      <c r="E1" s="212"/>
      <c r="F1" s="212"/>
      <c r="G1" s="212" t="s">
        <v>0</v>
      </c>
      <c r="H1" s="213">
        <v>226.13</v>
      </c>
      <c r="I1" s="212"/>
      <c r="J1" s="212"/>
      <c r="K1" s="212"/>
      <c r="L1" s="212"/>
      <c r="M1" s="212"/>
      <c r="N1" s="212"/>
    </row>
    <row r="2" spans="1:31" x14ac:dyDescent="0.2">
      <c r="A2" s="214"/>
      <c r="B2" s="215">
        <v>2005</v>
      </c>
      <c r="C2" s="215">
        <v>2006</v>
      </c>
      <c r="D2" s="215">
        <v>2007</v>
      </c>
      <c r="E2" s="215">
        <v>2008</v>
      </c>
      <c r="F2" s="215">
        <v>2009</v>
      </c>
      <c r="G2" s="215">
        <v>2010</v>
      </c>
      <c r="H2" s="215">
        <v>2011</v>
      </c>
      <c r="I2" s="215">
        <v>2012</v>
      </c>
      <c r="J2" s="215">
        <v>2013</v>
      </c>
      <c r="K2" s="215">
        <v>2014</v>
      </c>
      <c r="L2" s="215">
        <v>2015</v>
      </c>
      <c r="M2" s="216" t="s">
        <v>1</v>
      </c>
      <c r="N2" s="216" t="s">
        <v>2</v>
      </c>
      <c r="AE2" s="4" t="s">
        <v>3</v>
      </c>
    </row>
    <row r="3" spans="1:31" x14ac:dyDescent="0.2">
      <c r="A3" s="214" t="s">
        <v>4</v>
      </c>
      <c r="B3" s="41">
        <v>65.459999999999994</v>
      </c>
      <c r="C3" s="38">
        <v>93.24</v>
      </c>
      <c r="D3" s="38">
        <v>113.74</v>
      </c>
      <c r="E3" s="38">
        <v>120.3</v>
      </c>
      <c r="F3" s="38">
        <v>87.06</v>
      </c>
      <c r="G3" s="39">
        <v>87.18</v>
      </c>
      <c r="H3" s="5">
        <v>82.43</v>
      </c>
      <c r="I3" s="6">
        <v>95.92</v>
      </c>
      <c r="J3" s="6">
        <v>149.99</v>
      </c>
      <c r="K3" s="6">
        <v>198.72</v>
      </c>
      <c r="L3" s="6">
        <v>227.91</v>
      </c>
      <c r="M3" s="200">
        <f>MAX(R28:R35)</f>
        <v>338</v>
      </c>
      <c r="N3" s="201">
        <f>MAX(S28:S35)</f>
        <v>361.85</v>
      </c>
      <c r="R3" s="8"/>
      <c r="S3" s="8"/>
      <c r="U3" s="8"/>
      <c r="V3" s="8"/>
      <c r="W3" s="8"/>
      <c r="AE3" s="7"/>
    </row>
    <row r="4" spans="1:31" x14ac:dyDescent="0.2">
      <c r="A4" s="217" t="s">
        <v>5</v>
      </c>
      <c r="B4" s="42">
        <v>52.54</v>
      </c>
      <c r="C4" s="37">
        <v>62.52</v>
      </c>
      <c r="D4" s="37">
        <v>88.86</v>
      </c>
      <c r="E4" s="37">
        <v>67.38</v>
      </c>
      <c r="F4" s="37">
        <v>57.41</v>
      </c>
      <c r="G4" s="40">
        <v>67.680000000000007</v>
      </c>
      <c r="H4" s="9">
        <v>66.36</v>
      </c>
      <c r="I4" s="10">
        <v>79.05</v>
      </c>
      <c r="J4" s="10">
        <v>85.88</v>
      </c>
      <c r="K4" s="10">
        <v>144.69</v>
      </c>
      <c r="L4" s="10">
        <v>181.91</v>
      </c>
      <c r="M4" s="202">
        <f>MIN(R28:R35)</f>
        <v>162.64417574027485</v>
      </c>
      <c r="N4" s="203">
        <f>MIN(S28:S35)</f>
        <v>102.29426021207662</v>
      </c>
      <c r="O4" s="27"/>
      <c r="P4" s="8"/>
      <c r="Q4" s="97"/>
      <c r="R4" s="463" t="s">
        <v>6</v>
      </c>
      <c r="S4" s="464"/>
      <c r="U4" s="212" t="s">
        <v>1168</v>
      </c>
      <c r="V4" s="212"/>
      <c r="W4" s="384"/>
      <c r="X4" s="27"/>
      <c r="Y4" s="8"/>
      <c r="AE4" s="7" t="s">
        <v>7</v>
      </c>
    </row>
    <row r="5" spans="1:31" x14ac:dyDescent="0.2">
      <c r="A5" s="218" t="s">
        <v>8</v>
      </c>
      <c r="B5" s="11"/>
      <c r="C5" s="12"/>
      <c r="D5" s="12"/>
      <c r="E5" s="12"/>
      <c r="F5" s="12"/>
      <c r="L5" s="224" t="s">
        <v>9</v>
      </c>
      <c r="M5" s="225" t="s">
        <v>10</v>
      </c>
      <c r="N5" s="226" t="s">
        <v>11</v>
      </c>
      <c r="O5" s="225" t="s">
        <v>1</v>
      </c>
      <c r="P5" s="227" t="s">
        <v>2</v>
      </c>
      <c r="Q5" s="97"/>
      <c r="R5" s="241" t="s">
        <v>12</v>
      </c>
      <c r="S5" s="242" t="s">
        <v>13</v>
      </c>
      <c r="U5" s="234">
        <v>2013</v>
      </c>
      <c r="V5" s="236">
        <v>2014</v>
      </c>
      <c r="W5" s="236">
        <v>2015</v>
      </c>
      <c r="X5" s="385" t="s">
        <v>1165</v>
      </c>
      <c r="Y5" s="379"/>
      <c r="AE5" s="14" t="s">
        <v>14</v>
      </c>
    </row>
    <row r="6" spans="1:31" x14ac:dyDescent="0.2">
      <c r="A6" s="219" t="s">
        <v>15</v>
      </c>
      <c r="B6" s="98">
        <f t="shared" ref="B6" si="0">B$58/B$18</f>
        <v>84.51737451737452</v>
      </c>
      <c r="C6" s="99">
        <f t="shared" ref="C6:L6" si="1">C$58/C$18</f>
        <v>92.548469983648673</v>
      </c>
      <c r="D6" s="99">
        <f t="shared" si="1"/>
        <v>100.62980769230769</v>
      </c>
      <c r="E6" s="99">
        <f t="shared" si="1"/>
        <v>106.90768076057043</v>
      </c>
      <c r="F6" s="99">
        <f t="shared" si="1"/>
        <v>114.33212058212058</v>
      </c>
      <c r="G6" s="99">
        <f t="shared" si="1"/>
        <v>125.40087863811094</v>
      </c>
      <c r="H6" s="99">
        <f t="shared" si="1"/>
        <v>138.43108067877344</v>
      </c>
      <c r="I6" s="99">
        <f t="shared" si="1"/>
        <v>145.75841828853876</v>
      </c>
      <c r="J6" s="99">
        <f t="shared" si="1"/>
        <v>141.34621377376132</v>
      </c>
      <c r="K6" s="99">
        <f t="shared" si="1"/>
        <v>143.93939393939394</v>
      </c>
      <c r="L6" s="99">
        <f t="shared" si="1"/>
        <v>148.66902997099581</v>
      </c>
      <c r="M6" s="159">
        <f t="shared" ref="M6:M26" si="2">AVERAGE(J6:L6)</f>
        <v>144.65154589471703</v>
      </c>
      <c r="N6" s="160">
        <f t="shared" ref="N6:N26" si="3">AVERAGE(H6:L6)</f>
        <v>143.62882733029264</v>
      </c>
      <c r="O6" s="171">
        <f>L6*(1+X6)</f>
        <v>149.70645029576886</v>
      </c>
      <c r="P6" s="172">
        <f>O6*(1+Y6)</f>
        <v>153.53929658157506</v>
      </c>
      <c r="R6" s="187">
        <f t="shared" ref="R6" si="4">O6/L6-1</f>
        <v>6.9780526917775365E-3</v>
      </c>
      <c r="S6" s="204">
        <f t="shared" ref="S6" si="5">P6/O6-1</f>
        <v>2.5602412442708999E-2</v>
      </c>
      <c r="U6" s="371">
        <f>(J6-I6)/I6</f>
        <v>-3.0270666810085591E-2</v>
      </c>
      <c r="V6" s="380">
        <f t="shared" ref="V6:W16" si="6">(K6-J6)/J6</f>
        <v>1.8346300876394609E-2</v>
      </c>
      <c r="W6" s="372">
        <f t="shared" si="6"/>
        <v>3.2858524009023525E-2</v>
      </c>
      <c r="X6" s="381">
        <f>AVERAGE(U6:W6)</f>
        <v>6.9780526917775148E-3</v>
      </c>
      <c r="Y6" s="373">
        <f>AVERAGE(V6:W6)</f>
        <v>2.5602412442709069E-2</v>
      </c>
      <c r="AE6" s="14" t="s">
        <v>16</v>
      </c>
    </row>
    <row r="7" spans="1:31" x14ac:dyDescent="0.2">
      <c r="A7" s="220" t="s">
        <v>17</v>
      </c>
      <c r="B7" s="86">
        <f t="shared" ref="B7:L7" si="7">B60/B18</f>
        <v>6.7817397229161935</v>
      </c>
      <c r="C7" s="86">
        <f t="shared" si="7"/>
        <v>9.2338238729268856</v>
      </c>
      <c r="D7" s="86">
        <f t="shared" si="7"/>
        <v>10.882211538461538</v>
      </c>
      <c r="E7" s="86">
        <f t="shared" si="7"/>
        <v>12.837127845884414</v>
      </c>
      <c r="F7" s="86">
        <f t="shared" si="7"/>
        <v>11.535862785862786</v>
      </c>
      <c r="G7" s="86">
        <f t="shared" si="7"/>
        <v>11.721581548599671</v>
      </c>
      <c r="H7" s="86">
        <f t="shared" si="7"/>
        <v>12.253646918725812</v>
      </c>
      <c r="I7" s="86">
        <f t="shared" si="7"/>
        <v>13.639172072907012</v>
      </c>
      <c r="J7" s="86">
        <f t="shared" si="7"/>
        <v>15.073231536304146</v>
      </c>
      <c r="K7" s="86">
        <f t="shared" si="7"/>
        <v>17.821969696969695</v>
      </c>
      <c r="L7" s="86">
        <f t="shared" si="7"/>
        <v>18.430551079600384</v>
      </c>
      <c r="M7" s="161">
        <f t="shared" si="2"/>
        <v>17.108584104291406</v>
      </c>
      <c r="N7" s="162">
        <f t="shared" si="3"/>
        <v>15.443714260901411</v>
      </c>
      <c r="O7" s="173">
        <f t="shared" ref="O7:O16" si="8">L7*(1+X7)</f>
        <v>20.406609893183152</v>
      </c>
      <c r="P7" s="174">
        <f t="shared" ref="P7:P16" si="9">O7*(1+Y7)</f>
        <v>22.615694124076963</v>
      </c>
      <c r="R7" s="188">
        <f t="shared" ref="R7:R13" si="10">O7/L7-1</f>
        <v>0.10721648012847229</v>
      </c>
      <c r="S7" s="189">
        <f t="shared" ref="S7:S17" si="11">P7/O7-1</f>
        <v>0.10825336704416344</v>
      </c>
      <c r="U7" s="368">
        <f t="shared" ref="U7:U16" si="12">(J7-I7)/I7</f>
        <v>0.10514270629708995</v>
      </c>
      <c r="V7" s="369">
        <f t="shared" si="6"/>
        <v>0.18235891580681721</v>
      </c>
      <c r="W7" s="374">
        <f t="shared" si="6"/>
        <v>3.4147818281509437E-2</v>
      </c>
      <c r="X7" s="382">
        <f t="shared" ref="X7:X16" si="13">AVERAGE(U7:W7)</f>
        <v>0.10721648012847219</v>
      </c>
      <c r="Y7" s="375">
        <f t="shared" ref="Y7:Y16" si="14">AVERAGE(V7:W7)</f>
        <v>0.10825336704416333</v>
      </c>
      <c r="AA7" s="3"/>
      <c r="AE7" s="7" t="s">
        <v>18</v>
      </c>
    </row>
    <row r="8" spans="1:31" x14ac:dyDescent="0.2">
      <c r="A8" s="220" t="s">
        <v>19</v>
      </c>
      <c r="B8" s="36">
        <f t="shared" ref="B8:L8" si="15">B$60/B$18</f>
        <v>6.7817397229161935</v>
      </c>
      <c r="C8" s="86">
        <f t="shared" si="15"/>
        <v>9.2338238729268856</v>
      </c>
      <c r="D8" s="86">
        <f t="shared" si="15"/>
        <v>10.882211538461538</v>
      </c>
      <c r="E8" s="86">
        <f t="shared" si="15"/>
        <v>12.837127845884414</v>
      </c>
      <c r="F8" s="86">
        <f t="shared" si="15"/>
        <v>11.535862785862786</v>
      </c>
      <c r="G8" s="86">
        <f t="shared" si="15"/>
        <v>11.721581548599671</v>
      </c>
      <c r="H8" s="86">
        <f t="shared" si="15"/>
        <v>12.253646918725812</v>
      </c>
      <c r="I8" s="86">
        <f t="shared" si="15"/>
        <v>13.639172072907012</v>
      </c>
      <c r="J8" s="86">
        <f t="shared" si="15"/>
        <v>15.073231536304146</v>
      </c>
      <c r="K8" s="86">
        <f t="shared" si="15"/>
        <v>17.821969696969695</v>
      </c>
      <c r="L8" s="86">
        <f t="shared" si="15"/>
        <v>18.430551079600384</v>
      </c>
      <c r="M8" s="161">
        <f t="shared" si="2"/>
        <v>17.108584104291406</v>
      </c>
      <c r="N8" s="387">
        <f t="shared" si="3"/>
        <v>15.443714260901411</v>
      </c>
      <c r="O8" s="388">
        <f t="shared" si="8"/>
        <v>20.406609893183152</v>
      </c>
      <c r="P8" s="388">
        <f t="shared" si="9"/>
        <v>22.615694124076963</v>
      </c>
      <c r="R8" s="188">
        <f t="shared" si="10"/>
        <v>0.10721648012847229</v>
      </c>
      <c r="S8" s="189">
        <f t="shared" si="11"/>
        <v>0.10825336704416344</v>
      </c>
      <c r="U8" s="368">
        <f t="shared" si="12"/>
        <v>0.10514270629708995</v>
      </c>
      <c r="V8" s="369">
        <f t="shared" si="6"/>
        <v>0.18235891580681721</v>
      </c>
      <c r="W8" s="374">
        <f t="shared" si="6"/>
        <v>3.4147818281509437E-2</v>
      </c>
      <c r="X8" s="382">
        <f t="shared" si="13"/>
        <v>0.10721648012847219</v>
      </c>
      <c r="Y8" s="375">
        <f t="shared" si="14"/>
        <v>0.10825336704416333</v>
      </c>
      <c r="AA8" s="16"/>
      <c r="AE8" s="7" t="s">
        <v>20</v>
      </c>
    </row>
    <row r="9" spans="1:31" x14ac:dyDescent="0.2">
      <c r="A9" s="220" t="s">
        <v>21</v>
      </c>
      <c r="B9" s="36">
        <f t="shared" ref="B9:L9" si="16">B$64/B$18</f>
        <v>4.144901203724733</v>
      </c>
      <c r="C9" s="86">
        <f t="shared" si="16"/>
        <v>5.9074982480728799</v>
      </c>
      <c r="D9" s="86">
        <f t="shared" si="16"/>
        <v>7.290865384615385</v>
      </c>
      <c r="E9" s="86">
        <f t="shared" si="16"/>
        <v>8.0485364023017265</v>
      </c>
      <c r="F9" s="86">
        <f t="shared" si="16"/>
        <v>7.858627858627858</v>
      </c>
      <c r="G9" s="86">
        <f t="shared" si="16"/>
        <v>7.9022515101592532</v>
      </c>
      <c r="H9" s="86">
        <f t="shared" si="16"/>
        <v>7.9041381363501051</v>
      </c>
      <c r="I9" s="86">
        <f t="shared" si="16"/>
        <v>8.4800741427247459</v>
      </c>
      <c r="J9" s="86">
        <f t="shared" si="16"/>
        <v>9.2894982860704278</v>
      </c>
      <c r="K9" s="86">
        <f t="shared" si="16"/>
        <v>11.407828282828282</v>
      </c>
      <c r="L9" s="86">
        <f t="shared" si="16"/>
        <v>11.617789236223009</v>
      </c>
      <c r="M9" s="161">
        <f t="shared" si="2"/>
        <v>10.771705268373907</v>
      </c>
      <c r="N9" s="162">
        <f t="shared" si="3"/>
        <v>9.7398656168393138</v>
      </c>
      <c r="O9" s="173">
        <f t="shared" si="8"/>
        <v>12.941791357190526</v>
      </c>
      <c r="P9" s="174">
        <f t="shared" si="9"/>
        <v>14.536478297778567</v>
      </c>
      <c r="R9" s="188">
        <f t="shared" si="10"/>
        <v>0.11396334483667703</v>
      </c>
      <c r="S9" s="189">
        <f t="shared" si="11"/>
        <v>0.12321995437687416</v>
      </c>
      <c r="U9" s="368">
        <f t="shared" si="12"/>
        <v>9.545012575628313E-2</v>
      </c>
      <c r="V9" s="369">
        <f t="shared" si="6"/>
        <v>0.22803491981200782</v>
      </c>
      <c r="W9" s="374">
        <f t="shared" si="6"/>
        <v>1.8404988941740349E-2</v>
      </c>
      <c r="X9" s="382">
        <f t="shared" si="13"/>
        <v>0.1139633448366771</v>
      </c>
      <c r="Y9" s="375">
        <f t="shared" si="14"/>
        <v>0.12321995437687408</v>
      </c>
      <c r="AE9" s="7" t="s">
        <v>22</v>
      </c>
    </row>
    <row r="10" spans="1:31" x14ac:dyDescent="0.2">
      <c r="A10" s="220" t="s">
        <v>23</v>
      </c>
      <c r="B10" s="36">
        <f t="shared" ref="B10:L10" si="17">B$61/B$18</f>
        <v>1.964569611628435</v>
      </c>
      <c r="C10" s="86">
        <f t="shared" si="17"/>
        <v>2.0859612240130812</v>
      </c>
      <c r="D10" s="86">
        <f t="shared" si="17"/>
        <v>2.2596153846153846</v>
      </c>
      <c r="E10" s="86">
        <f t="shared" si="17"/>
        <v>2.3167375531648737</v>
      </c>
      <c r="F10" s="86">
        <f t="shared" si="17"/>
        <v>2.2141372141372142</v>
      </c>
      <c r="G10" s="86">
        <f t="shared" si="17"/>
        <v>2.9489291598023066</v>
      </c>
      <c r="H10" s="86">
        <f t="shared" si="17"/>
        <v>2.9383745162250672</v>
      </c>
      <c r="I10" s="86">
        <f t="shared" si="17"/>
        <v>2.9101019462465247</v>
      </c>
      <c r="J10" s="86">
        <f t="shared" si="17"/>
        <v>2.6051729510751014</v>
      </c>
      <c r="K10" s="86">
        <f t="shared" si="17"/>
        <v>2.6672979797979797</v>
      </c>
      <c r="L10" s="86">
        <f t="shared" si="17"/>
        <v>3.0261037705446343</v>
      </c>
      <c r="M10" s="161">
        <f t="shared" si="2"/>
        <v>2.7661915671392383</v>
      </c>
      <c r="N10" s="162">
        <f t="shared" si="3"/>
        <v>2.8294102327778612</v>
      </c>
      <c r="O10" s="173">
        <f t="shared" si="8"/>
        <v>3.0801542161587467</v>
      </c>
      <c r="P10" s="174">
        <f t="shared" si="9"/>
        <v>3.3240517941521555</v>
      </c>
      <c r="R10" s="188">
        <f t="shared" si="10"/>
        <v>1.786139858792235E-2</v>
      </c>
      <c r="S10" s="189">
        <f t="shared" si="11"/>
        <v>7.9183560587291923E-2</v>
      </c>
      <c r="U10" s="368">
        <f t="shared" si="12"/>
        <v>-0.10478292541081713</v>
      </c>
      <c r="V10" s="369">
        <f t="shared" si="6"/>
        <v>2.3846796312406267E-2</v>
      </c>
      <c r="W10" s="374">
        <f t="shared" si="6"/>
        <v>0.13452032486217774</v>
      </c>
      <c r="X10" s="382">
        <f t="shared" si="13"/>
        <v>1.7861398587922295E-2</v>
      </c>
      <c r="Y10" s="375">
        <f t="shared" si="14"/>
        <v>7.9183560587292007E-2</v>
      </c>
      <c r="AE10" s="7" t="s">
        <v>24</v>
      </c>
    </row>
    <row r="11" spans="1:31" x14ac:dyDescent="0.2">
      <c r="A11" s="220" t="s">
        <v>25</v>
      </c>
      <c r="B11" s="36">
        <v>5.6</v>
      </c>
      <c r="C11" s="86">
        <f t="shared" ref="C11:L11" si="18">E$93/C$18</f>
        <v>7.3090399439383313</v>
      </c>
      <c r="D11" s="86">
        <f t="shared" si="18"/>
        <v>8.8918269230769234</v>
      </c>
      <c r="E11" s="86">
        <f t="shared" si="18"/>
        <v>9.8674005504128104</v>
      </c>
      <c r="F11" s="86">
        <f t="shared" si="18"/>
        <v>7.858627858627858</v>
      </c>
      <c r="G11" s="86">
        <f t="shared" si="18"/>
        <v>9.9588138385502472</v>
      </c>
      <c r="H11" s="86">
        <f t="shared" si="18"/>
        <v>10.023816612086931</v>
      </c>
      <c r="I11" s="86">
        <f t="shared" si="18"/>
        <v>10.688909484090207</v>
      </c>
      <c r="J11" s="86">
        <f t="shared" si="18"/>
        <v>11.514490495481459</v>
      </c>
      <c r="K11" s="86">
        <f t="shared" si="18"/>
        <v>13.740530303030303</v>
      </c>
      <c r="L11" s="86">
        <f t="shared" si="18"/>
        <v>13.996132774734127</v>
      </c>
      <c r="M11" s="161">
        <f t="shared" si="2"/>
        <v>13.083717857748629</v>
      </c>
      <c r="N11" s="162">
        <f t="shared" si="3"/>
        <v>11.992775933884605</v>
      </c>
      <c r="O11" s="173">
        <f t="shared" si="8"/>
        <v>15.345193527285257</v>
      </c>
      <c r="P11" s="174">
        <f t="shared" si="9"/>
        <v>16.971225192296078</v>
      </c>
      <c r="R11" s="188">
        <f t="shared" si="10"/>
        <v>9.6388107648311294E-2</v>
      </c>
      <c r="S11" s="189">
        <f t="shared" si="11"/>
        <v>0.10596358150319696</v>
      </c>
      <c r="U11" s="368">
        <f t="shared" si="12"/>
        <v>7.7237159938539968E-2</v>
      </c>
      <c r="V11" s="369">
        <f t="shared" si="6"/>
        <v>0.19332508098577103</v>
      </c>
      <c r="W11" s="374">
        <f t="shared" si="6"/>
        <v>1.8602082020622898E-2</v>
      </c>
      <c r="X11" s="382">
        <f t="shared" si="13"/>
        <v>9.6388107648311308E-2</v>
      </c>
      <c r="Y11" s="375">
        <f t="shared" si="14"/>
        <v>0.10596358150319696</v>
      </c>
      <c r="AA11" s="16"/>
      <c r="AE11" s="7" t="s">
        <v>26</v>
      </c>
    </row>
    <row r="12" spans="1:31" x14ac:dyDescent="0.2">
      <c r="A12" s="220" t="s">
        <v>27</v>
      </c>
      <c r="B12" s="100">
        <f t="shared" ref="B12:L12" si="19">D$95/B$18</f>
        <v>4.4222393822393826</v>
      </c>
      <c r="C12" s="101">
        <f t="shared" si="19"/>
        <v>3.7121702873160474</v>
      </c>
      <c r="D12" s="101">
        <f t="shared" si="19"/>
        <v>6.957761538461539</v>
      </c>
      <c r="E12" s="101">
        <f t="shared" si="19"/>
        <v>8.1256997748311228</v>
      </c>
      <c r="F12" s="101">
        <f t="shared" si="19"/>
        <v>7.7322557172557165</v>
      </c>
      <c r="G12" s="101">
        <f t="shared" si="19"/>
        <v>5.4165444810543661</v>
      </c>
      <c r="H12" s="101">
        <f t="shared" si="19"/>
        <v>11.237999404584698</v>
      </c>
      <c r="I12" s="101">
        <f t="shared" si="19"/>
        <v>9.5791133765832566</v>
      </c>
      <c r="J12" s="101">
        <f t="shared" si="19"/>
        <v>9.4956372701776264</v>
      </c>
      <c r="K12" s="101">
        <f t="shared" si="19"/>
        <v>12.635795454545454</v>
      </c>
      <c r="L12" s="101">
        <f t="shared" si="19"/>
        <v>12.562968095391556</v>
      </c>
      <c r="M12" s="161">
        <f t="shared" si="2"/>
        <v>11.564800273371546</v>
      </c>
      <c r="N12" s="162">
        <f t="shared" si="3"/>
        <v>11.102302720256517</v>
      </c>
      <c r="O12" s="173">
        <f t="shared" si="8"/>
        <v>13.887175580172839</v>
      </c>
      <c r="P12" s="174">
        <f t="shared" si="9"/>
        <v>16.143364295689988</v>
      </c>
      <c r="R12" s="188">
        <f t="shared" si="10"/>
        <v>0.10540562347420424</v>
      </c>
      <c r="S12" s="189">
        <f t="shared" si="11"/>
        <v>0.16246562898926564</v>
      </c>
      <c r="U12" s="368">
        <f t="shared" si="12"/>
        <v>-8.7143875559185634E-3</v>
      </c>
      <c r="V12" s="369">
        <f t="shared" si="6"/>
        <v>0.33069483332413424</v>
      </c>
      <c r="W12" s="374">
        <f t="shared" si="6"/>
        <v>-5.7635753456027868E-3</v>
      </c>
      <c r="X12" s="382">
        <f t="shared" si="13"/>
        <v>0.10540562347420429</v>
      </c>
      <c r="Y12" s="375">
        <f t="shared" si="14"/>
        <v>0.16246562898926573</v>
      </c>
      <c r="AA12" s="16"/>
      <c r="AE12" s="7" t="s">
        <v>28</v>
      </c>
    </row>
    <row r="13" spans="1:31" x14ac:dyDescent="0.2">
      <c r="A13" s="220" t="s">
        <v>29</v>
      </c>
      <c r="B13" s="100" t="e">
        <f t="shared" ref="B13:L13" si="20">D$104/B$18</f>
        <v>#VALUE!</v>
      </c>
      <c r="C13" s="101">
        <f t="shared" si="20"/>
        <v>2.2334202289184768</v>
      </c>
      <c r="D13" s="101">
        <f t="shared" si="20"/>
        <v>5.8031730769230769</v>
      </c>
      <c r="E13" s="101">
        <f t="shared" si="20"/>
        <v>5.841501125844383</v>
      </c>
      <c r="F13" s="101">
        <f t="shared" si="20"/>
        <v>10.787107588357591</v>
      </c>
      <c r="G13" s="101">
        <f t="shared" si="20"/>
        <v>4.2229972542559029</v>
      </c>
      <c r="H13" s="101">
        <f t="shared" si="20"/>
        <v>14.583899970229236</v>
      </c>
      <c r="I13" s="101">
        <f t="shared" si="20"/>
        <v>7.7526598702502323</v>
      </c>
      <c r="J13" s="101">
        <f t="shared" si="20"/>
        <v>9.0699376752882532</v>
      </c>
      <c r="K13" s="101">
        <f t="shared" si="20"/>
        <v>12.216281565656566</v>
      </c>
      <c r="L13" s="101">
        <f t="shared" si="20"/>
        <v>38.512884305510788</v>
      </c>
      <c r="M13" s="161">
        <f t="shared" si="2"/>
        <v>19.9330345154852</v>
      </c>
      <c r="N13" s="162">
        <f t="shared" si="3"/>
        <v>16.427132677387014</v>
      </c>
      <c r="O13" s="173">
        <f t="shared" si="8"/>
        <v>72.781617726600984</v>
      </c>
      <c r="P13" s="174">
        <f t="shared" si="9"/>
        <v>163.7398829186792</v>
      </c>
      <c r="R13" s="188">
        <f t="shared" si="10"/>
        <v>0.88979919419295994</v>
      </c>
      <c r="S13" s="189">
        <f t="shared" si="11"/>
        <v>1.2497422842915711</v>
      </c>
      <c r="U13" s="368">
        <f t="shared" si="12"/>
        <v>0.16991301399573761</v>
      </c>
      <c r="V13" s="369">
        <f t="shared" si="6"/>
        <v>0.34689807174097453</v>
      </c>
      <c r="W13" s="374">
        <f t="shared" si="6"/>
        <v>2.1525864968421682</v>
      </c>
      <c r="X13" s="382">
        <f t="shared" si="13"/>
        <v>0.88979919419296005</v>
      </c>
      <c r="Y13" s="375">
        <f t="shared" si="14"/>
        <v>1.2497422842915713</v>
      </c>
      <c r="AA13" s="16"/>
      <c r="AE13" s="7" t="s">
        <v>30</v>
      </c>
    </row>
    <row r="14" spans="1:31" x14ac:dyDescent="0.2">
      <c r="A14" s="220" t="s">
        <v>31</v>
      </c>
      <c r="B14" s="36">
        <f t="shared" ref="B14:L14" si="21">B$65/B$18</f>
        <v>1.0492845786963434</v>
      </c>
      <c r="C14" s="86">
        <f t="shared" si="21"/>
        <v>1.256715720626022</v>
      </c>
      <c r="D14" s="86">
        <f t="shared" si="21"/>
        <v>1.46875</v>
      </c>
      <c r="E14" s="86">
        <f t="shared" si="21"/>
        <v>1.8438829121841382</v>
      </c>
      <c r="F14" s="86">
        <f t="shared" si="21"/>
        <v>2.3596673596673594</v>
      </c>
      <c r="G14" s="86">
        <f t="shared" si="21"/>
        <v>2.6386600768808348</v>
      </c>
      <c r="H14" s="86">
        <f t="shared" si="21"/>
        <v>3.2479904733551654</v>
      </c>
      <c r="I14" s="86">
        <f t="shared" si="21"/>
        <v>4.1489033055298119</v>
      </c>
      <c r="J14" s="86">
        <f t="shared" si="21"/>
        <v>4.7771891555001558</v>
      </c>
      <c r="K14" s="86">
        <f t="shared" si="21"/>
        <v>5.4892676767676765</v>
      </c>
      <c r="L14" s="86">
        <f t="shared" si="21"/>
        <v>6.1231066709635833</v>
      </c>
      <c r="M14" s="161">
        <f t="shared" si="2"/>
        <v>5.4631878344104718</v>
      </c>
      <c r="N14" s="162">
        <f t="shared" si="3"/>
        <v>4.7572914564232782</v>
      </c>
      <c r="O14" s="173">
        <f t="shared" si="8"/>
        <v>6.9720979134611953</v>
      </c>
      <c r="P14" s="174">
        <f t="shared" si="9"/>
        <v>7.8942513785422808</v>
      </c>
      <c r="R14" s="188">
        <f>(1-O23)*O9</f>
        <v>6.9720979134611953</v>
      </c>
      <c r="S14" s="189">
        <f t="shared" si="11"/>
        <v>0.13226341289623345</v>
      </c>
      <c r="U14" s="368">
        <f t="shared" si="12"/>
        <v>0.15143419928175747</v>
      </c>
      <c r="V14" s="369">
        <f t="shared" si="6"/>
        <v>0.14905805445189002</v>
      </c>
      <c r="W14" s="374">
        <f t="shared" si="6"/>
        <v>0.11546877134057694</v>
      </c>
      <c r="X14" s="382">
        <f t="shared" si="13"/>
        <v>0.13865367502474149</v>
      </c>
      <c r="Y14" s="375">
        <f t="shared" si="14"/>
        <v>0.13226341289623347</v>
      </c>
      <c r="AA14" s="16"/>
      <c r="AE14" s="7" t="s">
        <v>32</v>
      </c>
    </row>
    <row r="15" spans="1:31" x14ac:dyDescent="0.2">
      <c r="A15" s="220" t="s">
        <v>33</v>
      </c>
      <c r="B15" s="36">
        <f t="shared" ref="B15:L15" si="22">B$66/B$18</f>
        <v>6.07086077674313</v>
      </c>
      <c r="C15" s="86">
        <f t="shared" si="22"/>
        <v>5.3562251810324684</v>
      </c>
      <c r="D15" s="86">
        <f t="shared" si="22"/>
        <v>7.165865384615385</v>
      </c>
      <c r="E15" s="86">
        <f t="shared" si="22"/>
        <v>5.576682511883913</v>
      </c>
      <c r="F15" s="86">
        <f t="shared" si="22"/>
        <v>6.2136174636174637</v>
      </c>
      <c r="G15" s="86">
        <f t="shared" si="22"/>
        <v>7.6249313563975836</v>
      </c>
      <c r="H15" s="86">
        <f t="shared" si="22"/>
        <v>10.672819291455792</v>
      </c>
      <c r="I15" s="86">
        <f t="shared" si="22"/>
        <v>5.8634538152610443</v>
      </c>
      <c r="J15" s="86">
        <f t="shared" si="22"/>
        <v>8.1551885322530389</v>
      </c>
      <c r="K15" s="86">
        <f t="shared" si="22"/>
        <v>4.5643939393939394</v>
      </c>
      <c r="L15" s="86">
        <f t="shared" si="22"/>
        <v>3.5127296165001609</v>
      </c>
      <c r="M15" s="161">
        <f t="shared" si="2"/>
        <v>5.4107706960490463</v>
      </c>
      <c r="N15" s="162">
        <f t="shared" si="3"/>
        <v>6.5537170389727946</v>
      </c>
      <c r="O15" s="173">
        <f t="shared" si="8"/>
        <v>3.1850347294646686</v>
      </c>
      <c r="P15" s="174">
        <f t="shared" si="9"/>
        <v>2.1169108689400273</v>
      </c>
      <c r="R15" s="188">
        <f>O15/L15-1</f>
        <v>-9.3287819676250661E-2</v>
      </c>
      <c r="S15" s="189">
        <f t="shared" si="11"/>
        <v>-0.33535705298389895</v>
      </c>
      <c r="U15" s="368">
        <f t="shared" si="12"/>
        <v>0.39085064693904564</v>
      </c>
      <c r="V15" s="369">
        <f t="shared" si="6"/>
        <v>-0.44030798045414021</v>
      </c>
      <c r="W15" s="374">
        <f t="shared" si="6"/>
        <v>-0.23040612551365769</v>
      </c>
      <c r="X15" s="382">
        <f t="shared" si="13"/>
        <v>-9.3287819676250758E-2</v>
      </c>
      <c r="Y15" s="375">
        <f t="shared" si="14"/>
        <v>-0.33535705298389895</v>
      </c>
      <c r="AA15" s="16"/>
      <c r="AE15" s="7" t="s">
        <v>34</v>
      </c>
    </row>
    <row r="16" spans="1:31" x14ac:dyDescent="0.2">
      <c r="A16" s="220" t="s">
        <v>35</v>
      </c>
      <c r="B16" s="36">
        <f t="shared" ref="B16:L16" si="23">B$67/B$18</f>
        <v>10.865319100613219</v>
      </c>
      <c r="C16" s="86">
        <f t="shared" si="23"/>
        <v>10.289651950478859</v>
      </c>
      <c r="D16" s="86">
        <f t="shared" si="23"/>
        <v>10.34375</v>
      </c>
      <c r="E16" s="86">
        <f t="shared" si="23"/>
        <v>8.914185639229423</v>
      </c>
      <c r="F16" s="86">
        <f t="shared" si="23"/>
        <v>13.128898128898129</v>
      </c>
      <c r="G16" s="86">
        <f t="shared" si="23"/>
        <v>13.780889621087315</v>
      </c>
      <c r="H16" s="86">
        <f t="shared" si="23"/>
        <v>19.23191426019649</v>
      </c>
      <c r="I16" s="86">
        <f t="shared" si="23"/>
        <v>19.023787457522399</v>
      </c>
      <c r="J16" s="86">
        <f t="shared" si="23"/>
        <v>19.171081333748834</v>
      </c>
      <c r="K16" s="86">
        <f t="shared" si="23"/>
        <v>19.387626262626263</v>
      </c>
      <c r="L16" s="86">
        <f t="shared" si="23"/>
        <v>46.100547856912662</v>
      </c>
      <c r="M16" s="161">
        <f t="shared" si="2"/>
        <v>28.219751817762585</v>
      </c>
      <c r="N16" s="162">
        <f t="shared" si="3"/>
        <v>24.582991434201329</v>
      </c>
      <c r="O16" s="173">
        <f t="shared" si="8"/>
        <v>67.566062338539481</v>
      </c>
      <c r="P16" s="174">
        <f t="shared" si="9"/>
        <v>114.49504820593239</v>
      </c>
      <c r="R16" s="188">
        <f>O16/L16-1</f>
        <v>0.46562384786080413</v>
      </c>
      <c r="S16" s="189">
        <f t="shared" si="11"/>
        <v>0.69456446392059101</v>
      </c>
      <c r="U16" s="376">
        <f t="shared" si="12"/>
        <v>7.7426157412304256E-3</v>
      </c>
      <c r="V16" s="370">
        <f t="shared" si="6"/>
        <v>1.129539461585939E-2</v>
      </c>
      <c r="W16" s="23">
        <f t="shared" si="6"/>
        <v>1.3778335332253226</v>
      </c>
      <c r="X16" s="383">
        <f t="shared" si="13"/>
        <v>0.46562384786080413</v>
      </c>
      <c r="Y16" s="377">
        <f t="shared" si="14"/>
        <v>0.69456446392059101</v>
      </c>
      <c r="AA16" s="16"/>
      <c r="AE16" s="7" t="s">
        <v>36</v>
      </c>
    </row>
    <row r="17" spans="1:31" x14ac:dyDescent="0.2">
      <c r="A17" s="220" t="s">
        <v>37</v>
      </c>
      <c r="B17" s="36">
        <f t="shared" ref="B17:L17" si="24">B$68/B$18</f>
        <v>17.867363161480807</v>
      </c>
      <c r="C17" s="86">
        <f t="shared" si="24"/>
        <v>16.080355057229617</v>
      </c>
      <c r="D17" s="86">
        <f t="shared" si="24"/>
        <v>23.56971153846154</v>
      </c>
      <c r="E17" s="86">
        <f t="shared" si="24"/>
        <v>7.167875906930198</v>
      </c>
      <c r="F17" s="86">
        <f t="shared" si="24"/>
        <v>10.73024948024948</v>
      </c>
      <c r="G17" s="86">
        <f t="shared" si="24"/>
        <v>9.6018671059857219</v>
      </c>
      <c r="H17" s="86">
        <f t="shared" si="24"/>
        <v>2.9800535873771956</v>
      </c>
      <c r="I17" s="86">
        <f t="shared" si="24"/>
        <v>0.12048192771084337</v>
      </c>
      <c r="J17" s="86">
        <f t="shared" si="24"/>
        <v>15.325646618884388</v>
      </c>
      <c r="K17" s="86">
        <f t="shared" si="24"/>
        <v>10.732323232323232</v>
      </c>
      <c r="L17" s="86">
        <f t="shared" si="24"/>
        <v>9.9806638736706415</v>
      </c>
      <c r="M17" s="161">
        <f t="shared" si="2"/>
        <v>12.012877908292753</v>
      </c>
      <c r="N17" s="161">
        <f t="shared" si="3"/>
        <v>7.8278338479932597</v>
      </c>
      <c r="O17" s="174">
        <f>L17*(1+((L17-K17)/K17))</f>
        <v>9.2816484560566881</v>
      </c>
      <c r="P17" s="174">
        <f>O17*(1+((O17-L17)/L17))</f>
        <v>8.6315899575662236</v>
      </c>
      <c r="Q17" s="2"/>
      <c r="R17" s="190">
        <f>O17/L17-1</f>
        <v>-7.0036966123864897E-2</v>
      </c>
      <c r="S17" s="191">
        <f t="shared" si="11"/>
        <v>-7.0036966123864786E-2</v>
      </c>
      <c r="AE17" s="7" t="s">
        <v>38</v>
      </c>
    </row>
    <row r="18" spans="1:31" x14ac:dyDescent="0.2">
      <c r="A18" s="221" t="s">
        <v>39</v>
      </c>
      <c r="B18" s="102">
        <v>440.3</v>
      </c>
      <c r="C18" s="103">
        <v>428.1</v>
      </c>
      <c r="D18" s="103">
        <v>416</v>
      </c>
      <c r="E18" s="103">
        <v>399.7</v>
      </c>
      <c r="F18" s="103">
        <v>384.8</v>
      </c>
      <c r="G18" s="103">
        <v>364.2</v>
      </c>
      <c r="H18" s="104">
        <v>335.9</v>
      </c>
      <c r="I18" s="104">
        <v>323.7</v>
      </c>
      <c r="J18" s="104">
        <v>320.89999999999998</v>
      </c>
      <c r="K18" s="104">
        <v>316.8</v>
      </c>
      <c r="L18" s="104">
        <v>310.3</v>
      </c>
      <c r="M18" s="163">
        <f t="shared" si="2"/>
        <v>316</v>
      </c>
      <c r="N18" s="163">
        <f t="shared" si="3"/>
        <v>321.52</v>
      </c>
      <c r="O18" s="186"/>
      <c r="P18" s="186"/>
      <c r="Q18" s="2"/>
      <c r="AE18" s="7" t="s">
        <v>40</v>
      </c>
    </row>
    <row r="19" spans="1:31" x14ac:dyDescent="0.2">
      <c r="A19" s="220" t="s">
        <v>41</v>
      </c>
      <c r="B19" s="105">
        <f t="shared" ref="B19:L19" si="25">B$59/B$58</f>
        <v>8.0240776072877759E-2</v>
      </c>
      <c r="C19" s="106">
        <f t="shared" si="25"/>
        <v>9.9772841998990405E-2</v>
      </c>
      <c r="D19" s="106">
        <f t="shared" si="25"/>
        <v>0.10814103482872295</v>
      </c>
      <c r="E19" s="106">
        <f t="shared" si="25"/>
        <v>0.12007675926142614</v>
      </c>
      <c r="F19" s="106">
        <f t="shared" si="25"/>
        <v>0.10089782929878395</v>
      </c>
      <c r="G19" s="106">
        <f t="shared" si="25"/>
        <v>9.3472882135271829E-2</v>
      </c>
      <c r="H19" s="106">
        <f t="shared" si="25"/>
        <v>8.8518032645863345E-2</v>
      </c>
      <c r="I19" s="106">
        <f t="shared" si="25"/>
        <v>9.3573820524776391E-2</v>
      </c>
      <c r="J19" s="106">
        <f t="shared" si="25"/>
        <v>0.10664050443141232</v>
      </c>
      <c r="K19" s="106">
        <f t="shared" si="25"/>
        <v>0.12381578947368421</v>
      </c>
      <c r="L19" s="106">
        <f t="shared" si="25"/>
        <v>0.12397034596375618</v>
      </c>
      <c r="M19" s="164">
        <f t="shared" si="2"/>
        <v>0.11814221328961756</v>
      </c>
      <c r="N19" s="165">
        <f t="shared" si="3"/>
        <v>0.1073036986078985</v>
      </c>
      <c r="O19" s="187">
        <f>O7/O6</f>
        <v>0.13631082597220531</v>
      </c>
      <c r="P19" s="187">
        <f>P7/P6</f>
        <v>0.14729580392509678</v>
      </c>
      <c r="AE19" s="7" t="s">
        <v>42</v>
      </c>
    </row>
    <row r="20" spans="1:31" x14ac:dyDescent="0.2">
      <c r="A20" s="220" t="s">
        <v>43</v>
      </c>
      <c r="B20" s="108">
        <f t="shared" ref="B20:L20" si="26">B$8/B$6</f>
        <v>8.0240776072877759E-2</v>
      </c>
      <c r="C20" s="109">
        <f t="shared" si="26"/>
        <v>9.9772841998990405E-2</v>
      </c>
      <c r="D20" s="109">
        <f t="shared" si="26"/>
        <v>0.10814103482872295</v>
      </c>
      <c r="E20" s="109">
        <f t="shared" si="26"/>
        <v>0.12007675926142614</v>
      </c>
      <c r="F20" s="109">
        <f t="shared" si="26"/>
        <v>0.10089782929878395</v>
      </c>
      <c r="G20" s="109">
        <f t="shared" si="26"/>
        <v>9.3472882135271829E-2</v>
      </c>
      <c r="H20" s="109">
        <f t="shared" si="26"/>
        <v>8.8518032645863359E-2</v>
      </c>
      <c r="I20" s="109">
        <f t="shared" si="26"/>
        <v>9.3573820524776405E-2</v>
      </c>
      <c r="J20" s="109">
        <f t="shared" si="26"/>
        <v>0.10664050443141231</v>
      </c>
      <c r="K20" s="109">
        <f t="shared" si="26"/>
        <v>0.1238157894736842</v>
      </c>
      <c r="L20" s="109">
        <f t="shared" si="26"/>
        <v>0.12397034596375617</v>
      </c>
      <c r="M20" s="166">
        <f t="shared" si="2"/>
        <v>0.11814221328961756</v>
      </c>
      <c r="N20" s="165">
        <f t="shared" si="3"/>
        <v>0.10730369860789848</v>
      </c>
      <c r="O20" s="188">
        <f>O8/O6</f>
        <v>0.13631082597220531</v>
      </c>
      <c r="P20" s="188">
        <f>P8/P6</f>
        <v>0.14729580392509678</v>
      </c>
      <c r="AE20" s="7" t="s">
        <v>44</v>
      </c>
    </row>
    <row r="21" spans="1:31" x14ac:dyDescent="0.2">
      <c r="A21" s="220" t="s">
        <v>45</v>
      </c>
      <c r="B21" s="110">
        <f t="shared" ref="B21:L21" si="27">B$64/B$58</f>
        <v>4.9042001451105793E-2</v>
      </c>
      <c r="C21" s="111">
        <f t="shared" si="27"/>
        <v>6.3831398283695107E-2</v>
      </c>
      <c r="D21" s="111">
        <f t="shared" si="27"/>
        <v>7.2452343414074818E-2</v>
      </c>
      <c r="E21" s="111">
        <f t="shared" si="27"/>
        <v>7.5284921953616815E-2</v>
      </c>
      <c r="F21" s="111">
        <f t="shared" si="27"/>
        <v>6.8735083532219576E-2</v>
      </c>
      <c r="G21" s="111">
        <f t="shared" si="27"/>
        <v>6.3015918197543305E-2</v>
      </c>
      <c r="H21" s="111">
        <f t="shared" si="27"/>
        <v>5.7098002107572203E-2</v>
      </c>
      <c r="I21" s="111">
        <f t="shared" si="27"/>
        <v>5.8178966555042178E-2</v>
      </c>
      <c r="J21" s="111">
        <f t="shared" si="27"/>
        <v>6.5721592662815825E-2</v>
      </c>
      <c r="K21" s="111">
        <f t="shared" si="27"/>
        <v>7.9254385964912286E-2</v>
      </c>
      <c r="L21" s="111">
        <f t="shared" si="27"/>
        <v>7.8145322119136384E-2</v>
      </c>
      <c r="M21" s="166">
        <f t="shared" si="2"/>
        <v>7.4373766915621489E-2</v>
      </c>
      <c r="N21" s="165">
        <f t="shared" si="3"/>
        <v>6.7679653881895771E-2</v>
      </c>
      <c r="O21" s="188">
        <f>O9/O6</f>
        <v>8.6447787197024326E-2</v>
      </c>
      <c r="P21" s="188">
        <f>P9/P6</f>
        <v>9.4675946949225279E-2</v>
      </c>
      <c r="T21" s="28"/>
      <c r="U21" s="22"/>
      <c r="V21" s="22"/>
      <c r="AE21" s="7"/>
    </row>
    <row r="22" spans="1:31" x14ac:dyDescent="0.2">
      <c r="A22" s="220" t="s">
        <v>46</v>
      </c>
      <c r="B22" s="94">
        <v>0.3024</v>
      </c>
      <c r="C22" s="94">
        <v>0.2959</v>
      </c>
      <c r="D22" s="94">
        <v>0.30559999999999998</v>
      </c>
      <c r="E22" s="94">
        <v>0.31580000000000003</v>
      </c>
      <c r="F22" s="94">
        <v>0.29099999999999998</v>
      </c>
      <c r="G22" s="94">
        <v>0.30809999999999998</v>
      </c>
      <c r="H22" s="111">
        <v>0.314</v>
      </c>
      <c r="I22" s="111">
        <v>0.32700000000000001</v>
      </c>
      <c r="J22" s="111">
        <v>0.311</v>
      </c>
      <c r="K22" s="111">
        <v>0.29699999999999999</v>
      </c>
      <c r="L22" s="111">
        <v>0.27700000000000002</v>
      </c>
      <c r="M22" s="166">
        <f t="shared" si="2"/>
        <v>0.29499999999999998</v>
      </c>
      <c r="N22" s="165">
        <f t="shared" si="3"/>
        <v>0.30519999999999997</v>
      </c>
      <c r="O22" s="188">
        <f t="shared" ref="O22" si="28">AVERAGE(B22:L22)</f>
        <v>0.30407272727272727</v>
      </c>
      <c r="P22" s="189">
        <v>0.31</v>
      </c>
      <c r="T22" s="28"/>
      <c r="U22" s="22"/>
      <c r="V22" s="22"/>
      <c r="AE22" s="4" t="s">
        <v>47</v>
      </c>
    </row>
    <row r="23" spans="1:31" x14ac:dyDescent="0.2">
      <c r="A23" s="221" t="s">
        <v>48</v>
      </c>
      <c r="B23" s="112">
        <f>(1-(B$65/B$64))</f>
        <v>0.74684931506849317</v>
      </c>
      <c r="C23" s="113">
        <f t="shared" ref="C23:L23" si="29">(1-C$65/C$64)</f>
        <v>0.78726769474100433</v>
      </c>
      <c r="D23" s="113">
        <f t="shared" si="29"/>
        <v>0.79854929113089357</v>
      </c>
      <c r="E23" s="113">
        <f t="shared" si="29"/>
        <v>0.7709045694746659</v>
      </c>
      <c r="F23" s="113">
        <f t="shared" si="29"/>
        <v>0.69973544973544977</v>
      </c>
      <c r="G23" s="113">
        <f t="shared" si="29"/>
        <v>0.66608756080611542</v>
      </c>
      <c r="H23" s="113">
        <f t="shared" si="29"/>
        <v>0.58907721280602643</v>
      </c>
      <c r="I23" s="113">
        <f t="shared" si="29"/>
        <v>0.51074681238615671</v>
      </c>
      <c r="J23" s="113">
        <f t="shared" si="29"/>
        <v>0.48574303924857432</v>
      </c>
      <c r="K23" s="113">
        <f t="shared" si="29"/>
        <v>0.51881571665744319</v>
      </c>
      <c r="L23" s="113">
        <f t="shared" si="29"/>
        <v>0.47295423023578365</v>
      </c>
      <c r="M23" s="167">
        <f t="shared" si="2"/>
        <v>0.49250432871393374</v>
      </c>
      <c r="N23" s="168">
        <f t="shared" si="3"/>
        <v>0.51546740226679688</v>
      </c>
      <c r="O23" s="190">
        <f>1-(O14/O9)</f>
        <v>0.46127257649015785</v>
      </c>
      <c r="P23" s="190">
        <f>1-(P14/P9)</f>
        <v>0.45693508311785092</v>
      </c>
      <c r="AE23" s="7" t="s">
        <v>49</v>
      </c>
    </row>
    <row r="24" spans="1:31" x14ac:dyDescent="0.2">
      <c r="A24" s="219" t="s">
        <v>50</v>
      </c>
      <c r="B24" s="105">
        <f t="shared" ref="B24:K24" si="30">B$64/(B$67+B$68)</f>
        <v>0.14425737095881749</v>
      </c>
      <c r="C24" s="106">
        <f t="shared" si="30"/>
        <v>0.22402338559659846</v>
      </c>
      <c r="D24" s="106">
        <f t="shared" si="30"/>
        <v>0.21498440601077404</v>
      </c>
      <c r="E24" s="106">
        <f t="shared" si="30"/>
        <v>0.50046670815183569</v>
      </c>
      <c r="F24" s="106">
        <f t="shared" si="30"/>
        <v>0.32937588497984971</v>
      </c>
      <c r="G24" s="106">
        <f t="shared" si="30"/>
        <v>0.33795209018318462</v>
      </c>
      <c r="H24" s="106">
        <f t="shared" si="30"/>
        <v>0.35585042219541618</v>
      </c>
      <c r="I24" s="106">
        <f t="shared" si="30"/>
        <v>0.44295626916249797</v>
      </c>
      <c r="J24" s="106">
        <f t="shared" si="30"/>
        <v>0.26928635953026198</v>
      </c>
      <c r="K24" s="106">
        <f t="shared" si="30"/>
        <v>0.37874659400544958</v>
      </c>
      <c r="L24" s="106">
        <f>L$64/(L$67+L$68)</f>
        <v>0.2071600965406275</v>
      </c>
      <c r="M24" s="164">
        <f t="shared" si="2"/>
        <v>0.28506435002544633</v>
      </c>
      <c r="N24" s="165">
        <f t="shared" si="3"/>
        <v>0.33079994828685061</v>
      </c>
      <c r="O24" s="188">
        <f>O9/(O16+O17)</f>
        <v>0.1684082872915009</v>
      </c>
      <c r="P24" s="188">
        <f>P9/(P16+P17)</f>
        <v>0.11806119711053692</v>
      </c>
      <c r="AE24" s="7" t="s">
        <v>51</v>
      </c>
    </row>
    <row r="25" spans="1:31" x14ac:dyDescent="0.2">
      <c r="A25" s="220" t="s">
        <v>52</v>
      </c>
      <c r="B25" s="110">
        <f t="shared" ref="B25:L25" si="31">B$64/B$68</f>
        <v>0.23198169569086055</v>
      </c>
      <c r="C25" s="111">
        <f t="shared" si="31"/>
        <v>0.36737361998837886</v>
      </c>
      <c r="D25" s="111">
        <f t="shared" si="31"/>
        <v>0.30933197348291686</v>
      </c>
      <c r="E25" s="111">
        <f t="shared" si="31"/>
        <v>1.1228621291448517</v>
      </c>
      <c r="F25" s="111">
        <f t="shared" si="31"/>
        <v>0.73238072172438851</v>
      </c>
      <c r="G25" s="111">
        <f t="shared" si="31"/>
        <v>0.8229911352587933</v>
      </c>
      <c r="H25" s="111">
        <f t="shared" si="31"/>
        <v>2.6523476523476521</v>
      </c>
      <c r="I25" s="111">
        <f t="shared" si="31"/>
        <v>70.384615384615387</v>
      </c>
      <c r="J25" s="111">
        <f t="shared" si="31"/>
        <v>0.60614070760471739</v>
      </c>
      <c r="K25" s="111">
        <f t="shared" si="31"/>
        <v>1.0629411764705883</v>
      </c>
      <c r="L25" s="111">
        <f t="shared" si="31"/>
        <v>1.1640297061672586</v>
      </c>
      <c r="M25" s="166">
        <f t="shared" si="2"/>
        <v>0.94437053008085481</v>
      </c>
      <c r="N25" s="165">
        <f t="shared" si="3"/>
        <v>15.174014925441123</v>
      </c>
      <c r="O25" s="386">
        <f>O9/O17</f>
        <v>1.3943419014911551</v>
      </c>
      <c r="P25" s="386">
        <f>P9/P17</f>
        <v>1.6841020448424191</v>
      </c>
      <c r="AE25" s="7" t="s">
        <v>53</v>
      </c>
    </row>
    <row r="26" spans="1:31" x14ac:dyDescent="0.2">
      <c r="A26" s="221" t="s">
        <v>54</v>
      </c>
      <c r="B26" s="114">
        <f t="shared" ref="B26:L26" si="32">B$67/B$68</f>
        <v>0.60810982585483664</v>
      </c>
      <c r="C26" s="115">
        <f t="shared" si="32"/>
        <v>0.63988959907030796</v>
      </c>
      <c r="D26" s="115">
        <f t="shared" si="32"/>
        <v>0.4388577256501785</v>
      </c>
      <c r="E26" s="115">
        <f t="shared" si="32"/>
        <v>1.243630017452007</v>
      </c>
      <c r="F26" s="115">
        <f t="shared" si="32"/>
        <v>1.2235408089125697</v>
      </c>
      <c r="G26" s="115">
        <f t="shared" si="32"/>
        <v>1.4352301973119816</v>
      </c>
      <c r="H26" s="115">
        <f t="shared" si="32"/>
        <v>6.453546453546454</v>
      </c>
      <c r="I26" s="115">
        <f t="shared" si="32"/>
        <v>157.89743589743588</v>
      </c>
      <c r="J26" s="115">
        <f t="shared" si="32"/>
        <v>1.2509150061000407</v>
      </c>
      <c r="K26" s="115">
        <f t="shared" si="32"/>
        <v>1.8064705882352941</v>
      </c>
      <c r="L26" s="115">
        <f t="shared" si="32"/>
        <v>4.6189861155957379</v>
      </c>
      <c r="M26" s="169">
        <f t="shared" si="2"/>
        <v>2.5587905699770244</v>
      </c>
      <c r="N26" s="170">
        <f t="shared" si="3"/>
        <v>34.405470812182685</v>
      </c>
      <c r="O26" s="192">
        <f>O16/O17</f>
        <v>7.2795325807076461</v>
      </c>
      <c r="P26" s="192">
        <f>P16/P17</f>
        <v>13.264653298963658</v>
      </c>
      <c r="AE26" s="7" t="s">
        <v>55</v>
      </c>
    </row>
    <row r="27" spans="1:31" x14ac:dyDescent="0.2">
      <c r="A27" s="222" t="s">
        <v>56</v>
      </c>
      <c r="B27" s="116">
        <f t="shared" ref="B27:K27" si="33">AVERAGE(B$3:B$4)</f>
        <v>59</v>
      </c>
      <c r="C27" s="117">
        <f t="shared" si="33"/>
        <v>77.88</v>
      </c>
      <c r="D27" s="117">
        <f t="shared" si="33"/>
        <v>101.3</v>
      </c>
      <c r="E27" s="117">
        <f t="shared" si="33"/>
        <v>93.84</v>
      </c>
      <c r="F27" s="117">
        <f t="shared" si="33"/>
        <v>72.234999999999999</v>
      </c>
      <c r="G27" s="117">
        <f t="shared" si="33"/>
        <v>77.430000000000007</v>
      </c>
      <c r="H27" s="117">
        <f t="shared" si="33"/>
        <v>74.39500000000001</v>
      </c>
      <c r="I27" s="117">
        <f t="shared" si="33"/>
        <v>87.484999999999999</v>
      </c>
      <c r="J27" s="117">
        <f t="shared" si="33"/>
        <v>117.935</v>
      </c>
      <c r="K27" s="117">
        <f t="shared" si="33"/>
        <v>171.70499999999998</v>
      </c>
      <c r="L27" s="117">
        <f>AVERAGE(L$3:L$4)</f>
        <v>204.91</v>
      </c>
      <c r="M27" s="228" t="s">
        <v>10</v>
      </c>
      <c r="N27" s="226" t="s">
        <v>11</v>
      </c>
      <c r="O27" s="1"/>
      <c r="P27" s="1"/>
      <c r="R27" s="234">
        <v>2016</v>
      </c>
      <c r="S27" s="237">
        <v>2017</v>
      </c>
      <c r="AE27" s="7" t="s">
        <v>57</v>
      </c>
    </row>
    <row r="28" spans="1:31" x14ac:dyDescent="0.2">
      <c r="A28" s="219" t="s">
        <v>58</v>
      </c>
      <c r="B28" s="118">
        <f t="shared" ref="B28:K28" si="34">B$27/B$9</f>
        <v>14.234356164383563</v>
      </c>
      <c r="C28" s="119">
        <f t="shared" si="34"/>
        <v>13.183245551601424</v>
      </c>
      <c r="D28" s="119">
        <f t="shared" si="34"/>
        <v>13.894098252555224</v>
      </c>
      <c r="E28" s="119">
        <f t="shared" si="34"/>
        <v>11.659262667081132</v>
      </c>
      <c r="F28" s="119">
        <f t="shared" si="34"/>
        <v>9.1918082010582012</v>
      </c>
      <c r="G28" s="119">
        <f t="shared" si="34"/>
        <v>9.7984732453092427</v>
      </c>
      <c r="H28" s="119">
        <f t="shared" si="34"/>
        <v>9.4121583804143132</v>
      </c>
      <c r="I28" s="119">
        <f t="shared" si="34"/>
        <v>10.316537158469945</v>
      </c>
      <c r="J28" s="119">
        <f t="shared" si="34"/>
        <v>12.695518785642401</v>
      </c>
      <c r="K28" s="119">
        <f t="shared" si="34"/>
        <v>15.051506364139458</v>
      </c>
      <c r="L28" s="119">
        <f>L$27/L$9</f>
        <v>17.637606934812762</v>
      </c>
      <c r="M28" s="177">
        <f t="shared" ref="M28:M39" si="35">AVERAGE(J28:L28)</f>
        <v>15.128210694864874</v>
      </c>
      <c r="N28" s="177">
        <f t="shared" ref="N28:N39" si="36">AVERAGE(H28:L28)</f>
        <v>13.022665524695777</v>
      </c>
      <c r="O28" s="193">
        <f>AVERAGE(L28:N28)</f>
        <v>15.26282771812447</v>
      </c>
      <c r="P28" s="193">
        <f>AVERAGE(L28:M28)</f>
        <v>16.382908814838817</v>
      </c>
      <c r="R28" s="171">
        <f>O28*O9</f>
        <v>197.52833184871128</v>
      </c>
      <c r="S28" s="171">
        <f>P28*P9</f>
        <v>238.14979844138966</v>
      </c>
      <c r="AE28" s="7" t="s">
        <v>59</v>
      </c>
    </row>
    <row r="29" spans="1:31" x14ac:dyDescent="0.2">
      <c r="A29" s="220" t="s">
        <v>60</v>
      </c>
      <c r="B29" s="120">
        <f t="shared" ref="B29:K29" si="37">B$27/B$17</f>
        <v>3.302110080081353</v>
      </c>
      <c r="C29" s="121">
        <f t="shared" si="37"/>
        <v>4.8431766414875073</v>
      </c>
      <c r="D29" s="121">
        <f t="shared" si="37"/>
        <v>4.2978888322284545</v>
      </c>
      <c r="E29" s="121">
        <f t="shared" si="37"/>
        <v>13.0917445026178</v>
      </c>
      <c r="F29" s="121">
        <f t="shared" si="37"/>
        <v>6.731903124243158</v>
      </c>
      <c r="G29" s="121">
        <f t="shared" si="37"/>
        <v>8.0640566199599668</v>
      </c>
      <c r="H29" s="121">
        <f t="shared" si="37"/>
        <v>24.964316183816187</v>
      </c>
      <c r="I29" s="121">
        <f t="shared" si="37"/>
        <v>726.12549999999999</v>
      </c>
      <c r="J29" s="121">
        <f t="shared" si="37"/>
        <v>7.6952707401382678</v>
      </c>
      <c r="K29" s="121">
        <f t="shared" si="37"/>
        <v>15.998865882352941</v>
      </c>
      <c r="L29" s="121">
        <f>L$27/L$17</f>
        <v>20.5306984178237</v>
      </c>
      <c r="M29" s="178">
        <f t="shared" si="35"/>
        <v>14.741611680104969</v>
      </c>
      <c r="N29" s="389">
        <f>AVERAGE(H29,J29:L29)</f>
        <v>17.297287806032774</v>
      </c>
      <c r="O29" s="194">
        <f t="shared" ref="O29:O32" si="38">AVERAGE(L29:N29)</f>
        <v>17.523199301320478</v>
      </c>
      <c r="P29" s="194">
        <f t="shared" ref="P29:P31" si="39">AVERAGE(L29:M29)</f>
        <v>17.636155048964334</v>
      </c>
      <c r="R29" s="173">
        <f>O29*O17</f>
        <v>162.64417574027485</v>
      </c>
      <c r="S29" s="173">
        <f>P29*P17</f>
        <v>152.22805881072139</v>
      </c>
      <c r="AE29" s="7" t="s">
        <v>61</v>
      </c>
    </row>
    <row r="30" spans="1:31" x14ac:dyDescent="0.2">
      <c r="A30" s="220" t="s">
        <v>62</v>
      </c>
      <c r="B30" s="120">
        <f t="shared" ref="B30:L30" si="40">B$27/B$6</f>
        <v>0.69808131566925535</v>
      </c>
      <c r="C30" s="121">
        <f t="shared" si="40"/>
        <v>0.84150499747602225</v>
      </c>
      <c r="D30" s="121">
        <f t="shared" si="40"/>
        <v>1.0066599780230281</v>
      </c>
      <c r="E30" s="121">
        <f t="shared" si="40"/>
        <v>0.87776667992792123</v>
      </c>
      <c r="F30" s="121">
        <f t="shared" si="40"/>
        <v>0.63179970451187639</v>
      </c>
      <c r="G30" s="121">
        <f t="shared" si="40"/>
        <v>0.61745978848722383</v>
      </c>
      <c r="H30" s="121">
        <f t="shared" si="40"/>
        <v>0.53741543904169986</v>
      </c>
      <c r="I30" s="121">
        <f t="shared" si="40"/>
        <v>0.60020547030647287</v>
      </c>
      <c r="J30" s="121">
        <f t="shared" si="40"/>
        <v>0.83436971427311601</v>
      </c>
      <c r="K30" s="121">
        <f t="shared" si="40"/>
        <v>1.192897894736842</v>
      </c>
      <c r="L30" s="121">
        <f t="shared" si="40"/>
        <v>1.3782964753316569</v>
      </c>
      <c r="M30" s="178">
        <f t="shared" si="35"/>
        <v>1.1351880281138718</v>
      </c>
      <c r="N30" s="179">
        <f t="shared" si="36"/>
        <v>0.90863699873795767</v>
      </c>
      <c r="O30" s="194">
        <f t="shared" si="38"/>
        <v>1.1407071673944955</v>
      </c>
      <c r="P30" s="194">
        <f t="shared" si="39"/>
        <v>1.2567422517227644</v>
      </c>
      <c r="R30" s="173">
        <f>O30*O6</f>
        <v>170.77122085757134</v>
      </c>
      <c r="S30" s="173">
        <f>P30*P6</f>
        <v>192.959321313858</v>
      </c>
      <c r="AE30" s="7" t="s">
        <v>63</v>
      </c>
    </row>
    <row r="31" spans="1:31" x14ac:dyDescent="0.2">
      <c r="A31" s="220" t="s">
        <v>64</v>
      </c>
      <c r="B31" s="120">
        <f t="shared" ref="B31:K31" si="41">B$27/B$11</f>
        <v>10.535714285714286</v>
      </c>
      <c r="C31" s="121">
        <f t="shared" si="41"/>
        <v>10.655298178331735</v>
      </c>
      <c r="D31" s="121">
        <f t="shared" si="41"/>
        <v>11.392484455258177</v>
      </c>
      <c r="E31" s="121">
        <f t="shared" si="41"/>
        <v>9.5101034482758617</v>
      </c>
      <c r="F31" s="121">
        <f t="shared" si="41"/>
        <v>9.1918082010582012</v>
      </c>
      <c r="G31" s="121">
        <f t="shared" si="41"/>
        <v>7.7750223325062038</v>
      </c>
      <c r="H31" s="121">
        <f t="shared" si="41"/>
        <v>7.4218237303237311</v>
      </c>
      <c r="I31" s="121">
        <f t="shared" si="41"/>
        <v>8.1846515895953758</v>
      </c>
      <c r="J31" s="121">
        <f t="shared" si="41"/>
        <v>10.242311637347767</v>
      </c>
      <c r="K31" s="121">
        <f t="shared" si="41"/>
        <v>12.496242591316333</v>
      </c>
      <c r="L31" s="121">
        <f>L$27/L$11</f>
        <v>14.640472714713333</v>
      </c>
      <c r="M31" s="178">
        <f t="shared" si="35"/>
        <v>12.459675647792478</v>
      </c>
      <c r="N31" s="179">
        <f t="shared" si="36"/>
        <v>10.597100452659308</v>
      </c>
      <c r="O31" s="194">
        <f t="shared" si="38"/>
        <v>12.565749605055041</v>
      </c>
      <c r="P31" s="195">
        <f t="shared" si="39"/>
        <v>13.550074181252906</v>
      </c>
      <c r="R31" s="173">
        <f>O31*O11</f>
        <v>192.82385950497789</v>
      </c>
      <c r="S31" s="173">
        <f>P31*P11</f>
        <v>229.96136030235999</v>
      </c>
      <c r="AE31" s="7" t="s">
        <v>65</v>
      </c>
    </row>
    <row r="32" spans="1:31" x14ac:dyDescent="0.2">
      <c r="A32" s="221" t="s">
        <v>66</v>
      </c>
      <c r="B32" s="114">
        <f t="shared" ref="B32:K32" si="42">B$27/B$12</f>
        <v>13.341656771670042</v>
      </c>
      <c r="C32" s="115">
        <f t="shared" si="42"/>
        <v>20.979641011110068</v>
      </c>
      <c r="D32" s="115">
        <f t="shared" si="42"/>
        <v>14.559280228278546</v>
      </c>
      <c r="E32" s="115">
        <f t="shared" si="42"/>
        <v>11.548543830115886</v>
      </c>
      <c r="F32" s="115">
        <f t="shared" si="42"/>
        <v>9.3420345422353925</v>
      </c>
      <c r="G32" s="115">
        <f t="shared" si="42"/>
        <v>14.29509169006727</v>
      </c>
      <c r="H32" s="115">
        <f t="shared" si="42"/>
        <v>6.619950519809561</v>
      </c>
      <c r="I32" s="115">
        <f t="shared" si="42"/>
        <v>9.1328911727741495</v>
      </c>
      <c r="J32" s="115">
        <f t="shared" si="42"/>
        <v>12.419914182104588</v>
      </c>
      <c r="K32" s="115">
        <f t="shared" si="42"/>
        <v>13.588776473762309</v>
      </c>
      <c r="L32" s="115">
        <f>L$27/L$12</f>
        <v>16.310636025189513</v>
      </c>
      <c r="M32" s="163">
        <f t="shared" si="35"/>
        <v>14.106442227018803</v>
      </c>
      <c r="N32" s="180">
        <f t="shared" si="36"/>
        <v>11.614433674728025</v>
      </c>
      <c r="O32" s="176">
        <f t="shared" si="38"/>
        <v>14.010503975645447</v>
      </c>
      <c r="P32" s="196">
        <f>AVERAGE(L32:M32)</f>
        <v>15.208539126104158</v>
      </c>
      <c r="R32" s="173">
        <f>O32*O12</f>
        <v>194.56632867649793</v>
      </c>
      <c r="S32" s="173">
        <f>P32*P12</f>
        <v>245.51698751795408</v>
      </c>
      <c r="AE32" s="7" t="s">
        <v>67</v>
      </c>
    </row>
    <row r="33" spans="1:38" x14ac:dyDescent="0.2">
      <c r="A33" s="220" t="s">
        <v>68</v>
      </c>
      <c r="B33" s="122">
        <f t="shared" ref="B33:K33" si="43">1/B$28</f>
        <v>7.0252562774995475E-2</v>
      </c>
      <c r="C33" s="123">
        <f t="shared" si="43"/>
        <v>7.5853855265445302E-2</v>
      </c>
      <c r="D33" s="123">
        <f t="shared" si="43"/>
        <v>7.1973004783962347E-2</v>
      </c>
      <c r="E33" s="123">
        <f t="shared" si="43"/>
        <v>8.5768716989575083E-2</v>
      </c>
      <c r="F33" s="123">
        <f t="shared" si="43"/>
        <v>0.10879252244241515</v>
      </c>
      <c r="G33" s="123">
        <f t="shared" si="43"/>
        <v>0.10205671587445761</v>
      </c>
      <c r="H33" s="123">
        <f t="shared" si="43"/>
        <v>0.10624555596948859</v>
      </c>
      <c r="I33" s="123">
        <f t="shared" si="43"/>
        <v>9.6931749931128144E-2</v>
      </c>
      <c r="J33" s="123">
        <f t="shared" si="43"/>
        <v>7.8767950871839812E-2</v>
      </c>
      <c r="K33" s="123">
        <f t="shared" si="43"/>
        <v>6.6438532848946061E-2</v>
      </c>
      <c r="L33" s="123">
        <f>1/L$28</f>
        <v>5.6697033996500945E-2</v>
      </c>
      <c r="M33" s="181">
        <f t="shared" si="35"/>
        <v>6.7301172572428944E-2</v>
      </c>
      <c r="N33" s="182">
        <f t="shared" si="36"/>
        <v>8.1016164723580711E-2</v>
      </c>
      <c r="P33" s="214"/>
      <c r="Q33" s="214" t="s">
        <v>1169</v>
      </c>
      <c r="R33" s="173">
        <v>226.13</v>
      </c>
      <c r="S33" s="173">
        <f>P12/(L35-V32)-P16+P15</f>
        <v>102.29426021207662</v>
      </c>
      <c r="AE33" s="7" t="s">
        <v>69</v>
      </c>
    </row>
    <row r="34" spans="1:38" x14ac:dyDescent="0.2">
      <c r="A34" s="220" t="s">
        <v>70</v>
      </c>
      <c r="B34" s="122">
        <f t="shared" ref="B34:K34" si="44">B$14/B$27</f>
        <v>1.7784484384683788E-2</v>
      </c>
      <c r="C34" s="123">
        <f t="shared" si="44"/>
        <v>1.6136565493400385E-2</v>
      </c>
      <c r="D34" s="123">
        <f t="shared" si="44"/>
        <v>1.4499012833168805E-2</v>
      </c>
      <c r="E34" s="123">
        <f t="shared" si="44"/>
        <v>1.9649221144332249E-2</v>
      </c>
      <c r="F34" s="123">
        <f t="shared" si="44"/>
        <v>3.2666537823317778E-2</v>
      </c>
      <c r="G34" s="123">
        <f t="shared" si="44"/>
        <v>3.4078006933757392E-2</v>
      </c>
      <c r="H34" s="123">
        <f t="shared" si="44"/>
        <v>4.3658719985955573E-2</v>
      </c>
      <c r="I34" s="123">
        <f t="shared" si="44"/>
        <v>4.7424167634792389E-2</v>
      </c>
      <c r="J34" s="123">
        <f t="shared" si="44"/>
        <v>4.0506967019969947E-2</v>
      </c>
      <c r="K34" s="123">
        <f t="shared" si="44"/>
        <v>3.1969177815251021E-2</v>
      </c>
      <c r="L34" s="123">
        <f>L$14/L$27</f>
        <v>2.9881931926033788E-2</v>
      </c>
      <c r="M34" s="181">
        <f t="shared" si="35"/>
        <v>3.4119358920418251E-2</v>
      </c>
      <c r="N34" s="182">
        <f t="shared" si="36"/>
        <v>3.8688192876400539E-2</v>
      </c>
      <c r="P34" s="214"/>
      <c r="Q34" s="214" t="s">
        <v>1170</v>
      </c>
      <c r="R34" s="173">
        <v>326.95999999999998</v>
      </c>
      <c r="S34" s="173">
        <v>361.85</v>
      </c>
      <c r="Y34" s="19"/>
      <c r="Z34" s="20"/>
      <c r="AA34" s="20"/>
      <c r="AB34" s="20"/>
      <c r="AC34" s="16"/>
      <c r="AE34" s="7"/>
    </row>
    <row r="35" spans="1:38" x14ac:dyDescent="0.2">
      <c r="A35" s="220" t="s">
        <v>71</v>
      </c>
      <c r="B35" s="122">
        <v>7.7499999999999999E-2</v>
      </c>
      <c r="C35" s="123">
        <v>7.7499999999999999E-2</v>
      </c>
      <c r="D35" s="123">
        <v>8.3199999999999996E-2</v>
      </c>
      <c r="E35" s="123">
        <v>9.3799999999999994E-2</v>
      </c>
      <c r="F35" s="123">
        <v>8.5300000000000001E-2</v>
      </c>
      <c r="G35" s="123">
        <v>8.2900000000000001E-2</v>
      </c>
      <c r="H35" s="123">
        <v>6.9800000000000001E-2</v>
      </c>
      <c r="I35" s="123">
        <v>7.0499999999999993E-2</v>
      </c>
      <c r="J35" s="123">
        <v>8.3900000000000002E-2</v>
      </c>
      <c r="K35" s="123">
        <v>8.4199999999999997E-2</v>
      </c>
      <c r="L35" s="123">
        <v>7.5200000000000003E-2</v>
      </c>
      <c r="M35" s="181">
        <f t="shared" si="35"/>
        <v>8.1100000000000005E-2</v>
      </c>
      <c r="N35" s="182">
        <f t="shared" si="36"/>
        <v>7.6719999999999997E-2</v>
      </c>
      <c r="P35" s="214"/>
      <c r="Q35" s="214" t="s">
        <v>72</v>
      </c>
      <c r="R35" s="175">
        <v>338</v>
      </c>
      <c r="S35" s="175">
        <v>359.82</v>
      </c>
      <c r="Y35" s="19"/>
      <c r="Z35" s="20"/>
      <c r="AA35" s="20"/>
      <c r="AB35" s="20"/>
      <c r="AC35" s="16"/>
      <c r="AE35" s="7" t="s">
        <v>73</v>
      </c>
    </row>
    <row r="36" spans="1:38" x14ac:dyDescent="0.2">
      <c r="A36" s="219" t="s">
        <v>74</v>
      </c>
      <c r="B36" s="124" t="e">
        <f t="shared" ref="B36:L36" si="45">(B$14/A$14)-1</f>
        <v>#VALUE!</v>
      </c>
      <c r="C36" s="107">
        <f t="shared" si="45"/>
        <v>0.19768816405116341</v>
      </c>
      <c r="D36" s="107">
        <f t="shared" si="45"/>
        <v>0.16872095724907066</v>
      </c>
      <c r="E36" s="107">
        <f t="shared" si="45"/>
        <v>0.25540964233813668</v>
      </c>
      <c r="F36" s="107">
        <f t="shared" si="45"/>
        <v>0.27972733196613775</v>
      </c>
      <c r="G36" s="107">
        <f t="shared" si="45"/>
        <v>0.11823391804377237</v>
      </c>
      <c r="H36" s="107">
        <f t="shared" si="45"/>
        <v>0.23092417314875258</v>
      </c>
      <c r="I36" s="107">
        <f t="shared" si="45"/>
        <v>0.27737545401234076</v>
      </c>
      <c r="J36" s="107">
        <f t="shared" si="45"/>
        <v>0.15143419928175739</v>
      </c>
      <c r="K36" s="107">
        <f t="shared" si="45"/>
        <v>0.14905805445189002</v>
      </c>
      <c r="L36" s="107">
        <f t="shared" si="45"/>
        <v>0.11546877134057687</v>
      </c>
      <c r="M36" s="164">
        <f t="shared" si="35"/>
        <v>0.13865367502474144</v>
      </c>
      <c r="N36" s="183">
        <f t="shared" si="36"/>
        <v>0.18485213044706353</v>
      </c>
      <c r="R36" s="156"/>
      <c r="S36" s="156"/>
      <c r="T36" s="22"/>
      <c r="U36" s="22"/>
      <c r="V36" s="22"/>
      <c r="AE36" s="7" t="s">
        <v>75</v>
      </c>
    </row>
    <row r="37" spans="1:38" x14ac:dyDescent="0.2">
      <c r="A37" s="220" t="s">
        <v>76</v>
      </c>
      <c r="B37" s="122">
        <f t="shared" ref="B37:K37" si="46">B$23*B$24</f>
        <v>0.10773851869417438</v>
      </c>
      <c r="C37" s="123">
        <f t="shared" si="46"/>
        <v>0.17636637434670918</v>
      </c>
      <c r="D37" s="123">
        <f t="shared" si="46"/>
        <v>0.17167564502409982</v>
      </c>
      <c r="E37" s="123">
        <f t="shared" si="46"/>
        <v>0.38581207218419417</v>
      </c>
      <c r="F37" s="123">
        <f t="shared" si="46"/>
        <v>0.2304759830083869</v>
      </c>
      <c r="G37" s="123">
        <f t="shared" si="46"/>
        <v>0.22510568341944578</v>
      </c>
      <c r="H37" s="123">
        <f t="shared" si="46"/>
        <v>0.20962337488272353</v>
      </c>
      <c r="I37" s="123">
        <f t="shared" si="46"/>
        <v>0.22623850250121028</v>
      </c>
      <c r="J37" s="123">
        <f t="shared" si="46"/>
        <v>0.13080397470641375</v>
      </c>
      <c r="K37" s="123">
        <f t="shared" si="46"/>
        <v>0.19649968560050299</v>
      </c>
      <c r="L37" s="123">
        <f>L$23*L$24</f>
        <v>9.7977243994943106E-2</v>
      </c>
      <c r="M37" s="166">
        <f t="shared" si="35"/>
        <v>0.14176030143395327</v>
      </c>
      <c r="N37" s="184">
        <f t="shared" si="36"/>
        <v>0.17222855633715875</v>
      </c>
      <c r="P37" s="50"/>
      <c r="Q37" s="233" t="s">
        <v>77</v>
      </c>
      <c r="R37" s="171">
        <f>MEDIAN(R28:R35)</f>
        <v>196.04733026260459</v>
      </c>
      <c r="S37" s="171">
        <f>MEDIAN(S28:S35)</f>
        <v>234.05557937187484</v>
      </c>
      <c r="AE37" s="7" t="s">
        <v>78</v>
      </c>
    </row>
    <row r="38" spans="1:38" x14ac:dyDescent="0.2">
      <c r="A38" s="220" t="s">
        <v>79</v>
      </c>
      <c r="B38" s="122">
        <f t="shared" ref="B38:K38" si="47">B$23*B$25</f>
        <v>0.17325537053514681</v>
      </c>
      <c r="C38" s="123">
        <f t="shared" si="47"/>
        <v>0.2892213829169088</v>
      </c>
      <c r="D38" s="123">
        <f t="shared" si="47"/>
        <v>0.24701682814890363</v>
      </c>
      <c r="E38" s="123">
        <f t="shared" si="47"/>
        <v>0.86561954624781867</v>
      </c>
      <c r="F38" s="123">
        <f t="shared" si="47"/>
        <v>0.51247275369338829</v>
      </c>
      <c r="G38" s="123">
        <f t="shared" si="47"/>
        <v>0.54818415784958541</v>
      </c>
      <c r="H38" s="123">
        <f t="shared" si="47"/>
        <v>1.5624375624375624</v>
      </c>
      <c r="I38" s="123">
        <f t="shared" si="47"/>
        <v>35.948717948717956</v>
      </c>
      <c r="J38" s="123">
        <f t="shared" si="47"/>
        <v>0.29442862952419685</v>
      </c>
      <c r="K38" s="123">
        <f t="shared" si="47"/>
        <v>0.55147058823529405</v>
      </c>
      <c r="L38" s="123">
        <f>L$23*L$25</f>
        <v>0.55053277365192121</v>
      </c>
      <c r="M38" s="166">
        <f t="shared" si="35"/>
        <v>0.46547733047047068</v>
      </c>
      <c r="N38" s="184">
        <f t="shared" si="36"/>
        <v>7.7815175005133881</v>
      </c>
      <c r="P38" s="390"/>
      <c r="Q38" s="239" t="s">
        <v>80</v>
      </c>
      <c r="R38" s="197">
        <f>AVERAGE(R28:R35)</f>
        <v>226.1779895785042</v>
      </c>
      <c r="S38" s="175">
        <f>AVERAGE(S28:S35)</f>
        <v>235.34747332479495</v>
      </c>
      <c r="AE38" s="7" t="s">
        <v>81</v>
      </c>
    </row>
    <row r="39" spans="1:38" x14ac:dyDescent="0.2">
      <c r="A39" s="221" t="s">
        <v>82</v>
      </c>
      <c r="B39" s="114">
        <f t="shared" ref="B39:K39" si="48">B$25/B$24</f>
        <v>1.6081098258548365</v>
      </c>
      <c r="C39" s="115">
        <f t="shared" si="48"/>
        <v>1.639889599070308</v>
      </c>
      <c r="D39" s="115">
        <f t="shared" si="48"/>
        <v>1.4388577256501782</v>
      </c>
      <c r="E39" s="115">
        <f t="shared" si="48"/>
        <v>2.2436300174520074</v>
      </c>
      <c r="F39" s="115">
        <f t="shared" si="48"/>
        <v>2.2235408089125697</v>
      </c>
      <c r="G39" s="115">
        <f t="shared" si="48"/>
        <v>2.4352301973119816</v>
      </c>
      <c r="H39" s="115">
        <f t="shared" si="48"/>
        <v>7.4535464535464522</v>
      </c>
      <c r="I39" s="115">
        <f t="shared" si="48"/>
        <v>158.89743589743591</v>
      </c>
      <c r="J39" s="115">
        <f t="shared" si="48"/>
        <v>2.2509150061000409</v>
      </c>
      <c r="K39" s="115">
        <f t="shared" si="48"/>
        <v>2.8064705882352943</v>
      </c>
      <c r="L39" s="115">
        <f>L$25/L$24</f>
        <v>5.6189861155957379</v>
      </c>
      <c r="M39" s="169">
        <f t="shared" si="35"/>
        <v>3.5587905699770239</v>
      </c>
      <c r="N39" s="185">
        <f t="shared" si="36"/>
        <v>35.405470812182685</v>
      </c>
      <c r="P39" s="13"/>
      <c r="Q39" s="12"/>
      <c r="R39" s="199"/>
      <c r="S39" s="199"/>
      <c r="AE39" s="7" t="s">
        <v>83</v>
      </c>
    </row>
    <row r="40" spans="1:38" x14ac:dyDescent="0.2">
      <c r="A40" s="219" t="s">
        <v>84</v>
      </c>
      <c r="B40" s="125">
        <f t="shared" ref="B40:L40" si="49">B$60/B$63</f>
        <v>8.0702702702702709</v>
      </c>
      <c r="C40" s="126">
        <f t="shared" si="49"/>
        <v>10.950138504155124</v>
      </c>
      <c r="D40" s="126">
        <f t="shared" si="49"/>
        <v>12.860795454545455</v>
      </c>
      <c r="E40" s="126">
        <f t="shared" si="49"/>
        <v>15.046920821114369</v>
      </c>
      <c r="F40" s="126">
        <f t="shared" si="49"/>
        <v>14.412337662337663</v>
      </c>
      <c r="G40" s="126">
        <f t="shared" si="49"/>
        <v>12.373913043478261</v>
      </c>
      <c r="H40" s="126">
        <f t="shared" si="49"/>
        <v>11.627118644067796</v>
      </c>
      <c r="I40" s="126">
        <f t="shared" si="49"/>
        <v>11.527415143603132</v>
      </c>
      <c r="J40" s="126">
        <f t="shared" si="49"/>
        <v>13.82</v>
      </c>
      <c r="K40" s="126">
        <f t="shared" si="49"/>
        <v>16.605882352941176</v>
      </c>
      <c r="L40" s="126">
        <f t="shared" si="49"/>
        <v>12.909706546275395</v>
      </c>
      <c r="AE40" s="7"/>
    </row>
    <row r="41" spans="1:38" x14ac:dyDescent="0.2">
      <c r="A41" s="220" t="s">
        <v>86</v>
      </c>
      <c r="B41" s="109">
        <f t="shared" ref="B41:L41" si="50">(B$58/B$69)</f>
        <v>1.3412990196078431</v>
      </c>
      <c r="C41" s="108">
        <f t="shared" si="50"/>
        <v>1.4034217703942475</v>
      </c>
      <c r="D41" s="109">
        <f t="shared" si="50"/>
        <v>1.4472101223812488</v>
      </c>
      <c r="E41" s="109">
        <f t="shared" si="50"/>
        <v>1.277879123179521</v>
      </c>
      <c r="F41" s="108">
        <f t="shared" si="50"/>
        <v>1.2530261171712569</v>
      </c>
      <c r="G41" s="109">
        <f t="shared" si="50"/>
        <v>1.3006863554808761</v>
      </c>
      <c r="H41" s="109">
        <f t="shared" si="50"/>
        <v>1.226627624775773</v>
      </c>
      <c r="I41" s="109">
        <f t="shared" si="50"/>
        <v>1.2205292702485966</v>
      </c>
      <c r="J41" s="109">
        <f t="shared" si="50"/>
        <v>1.2533989167679893</v>
      </c>
      <c r="K41" s="109">
        <f t="shared" si="50"/>
        <v>1.2309021216865519</v>
      </c>
      <c r="L41" s="109">
        <f t="shared" si="50"/>
        <v>0.93901644683276342</v>
      </c>
      <c r="X41" s="7"/>
    </row>
    <row r="42" spans="1:38" x14ac:dyDescent="0.2">
      <c r="A42" s="221" t="s">
        <v>87</v>
      </c>
      <c r="B42" s="128">
        <v>18.09</v>
      </c>
      <c r="C42" s="128">
        <v>19.940000000000001</v>
      </c>
      <c r="D42" s="128">
        <v>22.12</v>
      </c>
      <c r="E42" s="128">
        <v>20.77</v>
      </c>
      <c r="F42" s="128">
        <v>19.489999999999998</v>
      </c>
      <c r="G42" s="128">
        <v>18.329999999999998</v>
      </c>
      <c r="H42" s="128">
        <v>17.61</v>
      </c>
      <c r="I42" s="128">
        <v>15.85</v>
      </c>
      <c r="J42" s="128">
        <v>13.79</v>
      </c>
      <c r="K42" s="128">
        <v>13.92</v>
      </c>
      <c r="L42" s="127">
        <v>10.52</v>
      </c>
      <c r="M42" s="229"/>
      <c r="N42" s="229"/>
      <c r="O42" s="229" t="s">
        <v>85</v>
      </c>
      <c r="P42" s="230"/>
      <c r="R42" s="19"/>
      <c r="S42" s="19"/>
      <c r="X42" s="7"/>
    </row>
    <row r="43" spans="1:38" x14ac:dyDescent="0.2">
      <c r="A43" s="223" t="s">
        <v>1101</v>
      </c>
      <c r="B43" s="43" t="s">
        <v>143</v>
      </c>
      <c r="C43" s="158">
        <f>B$64/B$69</f>
        <v>6.5779988465974631E-2</v>
      </c>
      <c r="D43" s="158">
        <f t="shared" ref="D43:L43" si="51">C$64/C$69</f>
        <v>8.9582373986043712E-2</v>
      </c>
      <c r="E43" s="158">
        <f t="shared" si="51"/>
        <v>0.10485376477909147</v>
      </c>
      <c r="F43" s="158">
        <f t="shared" si="51"/>
        <v>9.6205030054726512E-2</v>
      </c>
      <c r="G43" s="158">
        <f t="shared" si="51"/>
        <v>8.6126854831819089E-2</v>
      </c>
      <c r="H43" s="158">
        <f t="shared" si="51"/>
        <v>8.1963944977643602E-2</v>
      </c>
      <c r="I43" s="158">
        <f t="shared" si="51"/>
        <v>7.0037986704653374E-2</v>
      </c>
      <c r="J43" s="158">
        <f t="shared" si="51"/>
        <v>7.1009131593243138E-2</v>
      </c>
      <c r="K43" s="158">
        <f t="shared" si="51"/>
        <v>8.2375373051840395E-2</v>
      </c>
      <c r="L43" s="157">
        <f t="shared" si="51"/>
        <v>9.7554391837175403E-2</v>
      </c>
      <c r="M43" s="225"/>
      <c r="N43" s="215">
        <v>2015</v>
      </c>
      <c r="O43" s="215">
        <v>2014</v>
      </c>
      <c r="P43" s="231">
        <v>2013</v>
      </c>
      <c r="T43" s="19"/>
      <c r="U43" s="19"/>
      <c r="V43" s="24"/>
      <c r="W43" s="25"/>
      <c r="X43" s="7"/>
      <c r="AE43" s="29" t="s">
        <v>91</v>
      </c>
      <c r="AF43" t="s">
        <v>94</v>
      </c>
      <c r="AG43" t="s">
        <v>95</v>
      </c>
      <c r="AH43" t="s">
        <v>92</v>
      </c>
      <c r="AI43" t="s">
        <v>96</v>
      </c>
      <c r="AJ43" t="s">
        <v>97</v>
      </c>
      <c r="AK43" t="s">
        <v>98</v>
      </c>
      <c r="AL43" t="s">
        <v>99</v>
      </c>
    </row>
    <row r="44" spans="1:38" x14ac:dyDescent="0.2">
      <c r="A44" s="336"/>
      <c r="B44" s="286"/>
      <c r="C44" s="48"/>
      <c r="D44" s="48"/>
      <c r="E44" s="48"/>
      <c r="F44" s="391"/>
      <c r="G44" s="392"/>
      <c r="H44" s="48"/>
      <c r="I44" s="48"/>
      <c r="J44" s="48"/>
      <c r="K44" s="48"/>
      <c r="L44" s="91"/>
      <c r="M44" s="214" t="s">
        <v>33</v>
      </c>
      <c r="N44" s="107">
        <f t="shared" ref="N44:N53" si="52">B75/$B$85</f>
        <v>2.2186940237746297E-2</v>
      </c>
      <c r="O44" s="107">
        <f t="shared" ref="O44:O53" si="53">C75/$C$85</f>
        <v>3.9032554121902499E-2</v>
      </c>
      <c r="P44" s="124">
        <f t="shared" ref="P44:P53" si="54">D75/$D$85</f>
        <v>7.2316790096164471E-2</v>
      </c>
      <c r="AE44" s="29" t="s">
        <v>100</v>
      </c>
      <c r="AF44" t="s">
        <v>103</v>
      </c>
      <c r="AG44" t="s">
        <v>101</v>
      </c>
      <c r="AH44" t="s">
        <v>104</v>
      </c>
      <c r="AI44" t="s">
        <v>105</v>
      </c>
      <c r="AJ44" t="s">
        <v>99</v>
      </c>
    </row>
    <row r="45" spans="1:38" x14ac:dyDescent="0.2">
      <c r="A45" s="393"/>
      <c r="B45" s="393"/>
      <c r="C45" s="391"/>
      <c r="D45" s="391"/>
      <c r="E45" s="48"/>
      <c r="F45" s="48"/>
      <c r="G45" s="286"/>
      <c r="H45" s="286"/>
      <c r="I45" s="394"/>
      <c r="J45" s="391" t="s">
        <v>1171</v>
      </c>
      <c r="K45" s="394">
        <v>4.8500000000000001E-2</v>
      </c>
      <c r="L45" s="91"/>
      <c r="M45" s="214" t="s">
        <v>89</v>
      </c>
      <c r="N45" s="109">
        <f t="shared" si="52"/>
        <v>0.2650830483634587</v>
      </c>
      <c r="O45" s="109">
        <f t="shared" si="53"/>
        <v>0.23433029206931921</v>
      </c>
      <c r="P45" s="108">
        <f t="shared" si="54"/>
        <v>0.24347850116060574</v>
      </c>
      <c r="AE45" s="29" t="s">
        <v>106</v>
      </c>
      <c r="AF45" t="s">
        <v>94</v>
      </c>
      <c r="AG45" t="s">
        <v>108</v>
      </c>
      <c r="AH45" t="s">
        <v>104</v>
      </c>
      <c r="AI45" t="s">
        <v>92</v>
      </c>
      <c r="AJ45" t="s">
        <v>97</v>
      </c>
      <c r="AK45" t="s">
        <v>99</v>
      </c>
    </row>
    <row r="46" spans="1:38" x14ac:dyDescent="0.2">
      <c r="A46" s="397"/>
      <c r="B46" s="397"/>
      <c r="C46" s="391"/>
      <c r="D46" s="391"/>
      <c r="E46" s="48"/>
      <c r="F46" s="48"/>
      <c r="G46" s="48"/>
      <c r="H46" s="48"/>
      <c r="I46" s="48"/>
      <c r="J46" s="48"/>
      <c r="K46" s="48"/>
      <c r="L46" s="91"/>
      <c r="M46" s="232" t="s">
        <v>90</v>
      </c>
      <c r="N46" s="109">
        <f t="shared" si="52"/>
        <v>0.10100146555935516</v>
      </c>
      <c r="O46" s="109">
        <f t="shared" si="53"/>
        <v>7.5689683096690608E-2</v>
      </c>
      <c r="P46" s="108">
        <f t="shared" si="54"/>
        <v>8.2264839173206594E-2</v>
      </c>
      <c r="AE46" s="29" t="s">
        <v>109</v>
      </c>
      <c r="AF46" t="s">
        <v>110</v>
      </c>
      <c r="AG46" t="s">
        <v>112</v>
      </c>
      <c r="AH46" t="s">
        <v>113</v>
      </c>
      <c r="AI46" t="s">
        <v>99</v>
      </c>
    </row>
    <row r="47" spans="1:38" x14ac:dyDescent="0.2">
      <c r="A47" s="378" t="s">
        <v>1172</v>
      </c>
      <c r="B47" s="398" t="s">
        <v>1173</v>
      </c>
      <c r="C47" s="391"/>
      <c r="D47" s="391"/>
      <c r="E47" s="48"/>
      <c r="F47" s="48"/>
      <c r="G47" s="48"/>
      <c r="H47" s="48"/>
      <c r="I47" s="48"/>
      <c r="J47" s="48"/>
      <c r="K47" s="48"/>
      <c r="L47" s="91"/>
      <c r="M47" s="232" t="s">
        <v>93</v>
      </c>
      <c r="N47" s="109">
        <f t="shared" si="52"/>
        <v>0.32971014492753625</v>
      </c>
      <c r="O47" s="109">
        <f t="shared" si="53"/>
        <v>0.33261350753117747</v>
      </c>
      <c r="P47" s="108">
        <f t="shared" si="54"/>
        <v>0.36832651707748426</v>
      </c>
      <c r="AE47" s="29" t="s">
        <v>31</v>
      </c>
      <c r="AF47" t="s">
        <v>115</v>
      </c>
      <c r="AG47" t="s">
        <v>108</v>
      </c>
      <c r="AH47" t="s">
        <v>92</v>
      </c>
      <c r="AI47" t="s">
        <v>116</v>
      </c>
      <c r="AK47" t="s">
        <v>99</v>
      </c>
    </row>
    <row r="48" spans="1:38" x14ac:dyDescent="0.2">
      <c r="A48" s="48"/>
      <c r="B48" s="48"/>
      <c r="C48" s="391"/>
      <c r="D48" s="391"/>
      <c r="E48" s="48"/>
      <c r="F48" s="48"/>
      <c r="G48" s="48"/>
      <c r="H48" s="48"/>
      <c r="I48" s="48"/>
      <c r="J48" s="48"/>
      <c r="K48" s="48"/>
      <c r="L48" s="91"/>
      <c r="M48" s="233" t="s">
        <v>102</v>
      </c>
      <c r="N48" s="109">
        <f t="shared" si="52"/>
        <v>0.18242142973457093</v>
      </c>
      <c r="O48" s="109">
        <f t="shared" si="53"/>
        <v>0.19805107164066296</v>
      </c>
      <c r="P48" s="108">
        <f t="shared" si="54"/>
        <v>0.21404885597435613</v>
      </c>
      <c r="AE48" s="29" t="s">
        <v>79</v>
      </c>
      <c r="AF48" t="s">
        <v>103</v>
      </c>
      <c r="AG48" t="s">
        <v>101</v>
      </c>
      <c r="AH48" t="s">
        <v>96</v>
      </c>
      <c r="AI48" t="s">
        <v>105</v>
      </c>
      <c r="AJ48" t="s">
        <v>99</v>
      </c>
    </row>
    <row r="49" spans="1:37" x14ac:dyDescent="0.2">
      <c r="A49" s="48"/>
      <c r="B49" s="48"/>
      <c r="C49" s="391"/>
      <c r="D49" s="391"/>
      <c r="E49" s="48"/>
      <c r="F49" s="48"/>
      <c r="G49" s="48"/>
      <c r="H49" s="48"/>
      <c r="I49" s="48"/>
      <c r="J49" s="48"/>
      <c r="K49" s="48"/>
      <c r="L49" s="91"/>
      <c r="M49" s="232" t="s">
        <v>107</v>
      </c>
      <c r="N49" s="109">
        <f t="shared" si="52"/>
        <v>1.9459371437876568E-2</v>
      </c>
      <c r="O49" s="109">
        <f t="shared" si="53"/>
        <v>0</v>
      </c>
      <c r="P49" s="108">
        <f t="shared" si="54"/>
        <v>0</v>
      </c>
      <c r="AE49" s="29" t="s">
        <v>118</v>
      </c>
    </row>
    <row r="50" spans="1:37" x14ac:dyDescent="0.2">
      <c r="A50" s="48"/>
      <c r="B50" s="48"/>
      <c r="C50" s="391"/>
      <c r="D50" s="391"/>
      <c r="E50" s="48"/>
      <c r="F50" s="48"/>
      <c r="G50" s="48"/>
      <c r="H50" s="48"/>
      <c r="I50" s="48"/>
      <c r="J50" s="48"/>
      <c r="K50" s="48"/>
      <c r="L50" s="91"/>
      <c r="M50" s="232" t="s">
        <v>111</v>
      </c>
      <c r="N50" s="109">
        <f t="shared" si="52"/>
        <v>0.28613010910275199</v>
      </c>
      <c r="O50" s="109">
        <f t="shared" si="53"/>
        <v>0.29995141175835449</v>
      </c>
      <c r="P50" s="108">
        <f t="shared" si="54"/>
        <v>0.30728418260196749</v>
      </c>
      <c r="AE50" s="29" t="s">
        <v>119</v>
      </c>
      <c r="AG50" t="s">
        <v>120</v>
      </c>
      <c r="AH50" t="s">
        <v>101</v>
      </c>
      <c r="AI50" t="s">
        <v>105</v>
      </c>
      <c r="AJ50" t="s">
        <v>121</v>
      </c>
      <c r="AK50" t="s">
        <v>99</v>
      </c>
    </row>
    <row r="51" spans="1:37" x14ac:dyDescent="0.2">
      <c r="A51" s="395"/>
      <c r="B51" s="395"/>
      <c r="C51" s="391"/>
      <c r="D51" s="391"/>
      <c r="E51" s="48"/>
      <c r="F51" s="48"/>
      <c r="G51" s="48"/>
      <c r="H51" s="48"/>
      <c r="I51" s="48"/>
      <c r="J51" s="48"/>
      <c r="K51" s="48"/>
      <c r="L51" s="91"/>
      <c r="M51" s="233" t="s">
        <v>114</v>
      </c>
      <c r="N51" s="109">
        <f t="shared" si="52"/>
        <v>0.11069044129620582</v>
      </c>
      <c r="O51" s="109">
        <f t="shared" si="53"/>
        <v>0.12824596447659667</v>
      </c>
      <c r="P51" s="108">
        <f t="shared" si="54"/>
        <v>0.13004310821266718</v>
      </c>
    </row>
    <row r="52" spans="1:37" x14ac:dyDescent="0.2">
      <c r="A52" s="48"/>
      <c r="B52" s="48"/>
      <c r="C52" s="391"/>
      <c r="D52" s="391"/>
      <c r="E52" s="48"/>
      <c r="F52" s="48"/>
      <c r="G52" s="48"/>
      <c r="H52" s="48"/>
      <c r="I52" s="48"/>
      <c r="J52" s="48"/>
      <c r="K52" s="48"/>
      <c r="L52" s="91"/>
      <c r="M52" s="233" t="s">
        <v>117</v>
      </c>
      <c r="N52" s="109">
        <f t="shared" si="52"/>
        <v>8.4412147858654946E-2</v>
      </c>
      <c r="O52" s="109">
        <f t="shared" si="53"/>
        <v>8.7458834961939205E-3</v>
      </c>
      <c r="P52" s="108">
        <f t="shared" si="54"/>
        <v>0</v>
      </c>
    </row>
    <row r="53" spans="1:37" x14ac:dyDescent="0.2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91"/>
      <c r="M53" s="220" t="s">
        <v>35</v>
      </c>
      <c r="N53" s="109">
        <f t="shared" si="52"/>
        <v>0.29117814688161536</v>
      </c>
      <c r="O53" s="109">
        <f t="shared" si="53"/>
        <v>0.16579387788155267</v>
      </c>
      <c r="P53" s="108">
        <f t="shared" si="54"/>
        <v>0.17000110533878635</v>
      </c>
    </row>
    <row r="54" spans="1:37" x14ac:dyDescent="0.2">
      <c r="A54" s="48"/>
      <c r="B54" s="48"/>
      <c r="C54" s="35"/>
      <c r="D54" s="35"/>
      <c r="E54" s="35"/>
      <c r="F54" s="35"/>
      <c r="G54" s="35"/>
      <c r="H54" s="48"/>
      <c r="I54" s="48"/>
      <c r="J54" s="48"/>
      <c r="K54" s="48"/>
      <c r="L54" s="396"/>
      <c r="M54" s="221" t="s">
        <v>1167</v>
      </c>
      <c r="N54" s="154">
        <f>B85</f>
        <v>49128</v>
      </c>
      <c r="O54" s="155">
        <f>C85</f>
        <v>37046</v>
      </c>
      <c r="P54" s="153">
        <f>D85</f>
        <v>36188</v>
      </c>
    </row>
    <row r="55" spans="1:37" x14ac:dyDescent="0.2">
      <c r="A55" s="205"/>
      <c r="B55" s="206"/>
      <c r="C55" s="206"/>
      <c r="D55" s="206"/>
      <c r="E55" s="207" t="s">
        <v>122</v>
      </c>
      <c r="F55" s="206"/>
      <c r="G55" s="206"/>
      <c r="H55" s="206"/>
      <c r="I55" s="206"/>
      <c r="J55" s="206"/>
      <c r="K55" s="206"/>
      <c r="L55" s="208"/>
    </row>
    <row r="56" spans="1:37" x14ac:dyDescent="0.2">
      <c r="B56" t="s">
        <v>142</v>
      </c>
      <c r="T56" s="30"/>
    </row>
    <row r="57" spans="1:37" x14ac:dyDescent="0.2">
      <c r="A57" s="234" t="s">
        <v>123</v>
      </c>
      <c r="B57" s="235">
        <v>2005</v>
      </c>
      <c r="C57" s="235">
        <v>2006</v>
      </c>
      <c r="D57" s="235">
        <v>2007</v>
      </c>
      <c r="E57" s="236">
        <v>2008</v>
      </c>
      <c r="F57" s="236">
        <v>2009</v>
      </c>
      <c r="G57" s="236">
        <v>2010</v>
      </c>
      <c r="H57" s="236">
        <f>H2</f>
        <v>2011</v>
      </c>
      <c r="I57" s="236">
        <f>I2</f>
        <v>2012</v>
      </c>
      <c r="J57" s="236">
        <f>J2</f>
        <v>2013</v>
      </c>
      <c r="K57" s="236">
        <f>K2</f>
        <v>2014</v>
      </c>
      <c r="L57" s="237">
        <f>L2</f>
        <v>2015</v>
      </c>
      <c r="T57" s="30"/>
    </row>
    <row r="58" spans="1:37" x14ac:dyDescent="0.2">
      <c r="A58" s="238" t="s">
        <v>15</v>
      </c>
      <c r="B58" s="147">
        <v>37213</v>
      </c>
      <c r="C58" s="148">
        <v>39620</v>
      </c>
      <c r="D58" s="148">
        <v>41862</v>
      </c>
      <c r="E58" s="17">
        <v>42731</v>
      </c>
      <c r="F58" s="17">
        <v>43995</v>
      </c>
      <c r="G58" s="15">
        <v>45671</v>
      </c>
      <c r="H58" s="15">
        <v>46499</v>
      </c>
      <c r="I58" s="15">
        <v>47182</v>
      </c>
      <c r="J58" s="15">
        <v>45358</v>
      </c>
      <c r="K58" s="15">
        <v>45600</v>
      </c>
      <c r="L58" s="15">
        <v>46132</v>
      </c>
      <c r="T58" s="30"/>
    </row>
    <row r="59" spans="1:37" x14ac:dyDescent="0.2">
      <c r="A59" s="239" t="s">
        <v>17</v>
      </c>
      <c r="B59" s="97">
        <v>2986</v>
      </c>
      <c r="C59" s="21">
        <v>3953</v>
      </c>
      <c r="D59" s="21">
        <v>4527</v>
      </c>
      <c r="E59" s="21">
        <v>5131</v>
      </c>
      <c r="F59" s="21">
        <v>4439</v>
      </c>
      <c r="G59" s="21">
        <v>4269</v>
      </c>
      <c r="H59" s="86">
        <v>4116</v>
      </c>
      <c r="I59" s="86">
        <v>4415</v>
      </c>
      <c r="J59" s="86">
        <v>4837</v>
      </c>
      <c r="K59" s="86">
        <v>5646</v>
      </c>
      <c r="L59" s="86">
        <v>5719</v>
      </c>
      <c r="T59" s="30"/>
    </row>
    <row r="60" spans="1:37" x14ac:dyDescent="0.2">
      <c r="A60" s="239" t="s">
        <v>19</v>
      </c>
      <c r="B60" s="97">
        <v>2986</v>
      </c>
      <c r="C60" s="17">
        <v>3953</v>
      </c>
      <c r="D60" s="17">
        <v>4527</v>
      </c>
      <c r="E60" s="17">
        <v>5131</v>
      </c>
      <c r="F60" s="17">
        <v>4439</v>
      </c>
      <c r="G60" s="17">
        <v>4269</v>
      </c>
      <c r="H60" s="17">
        <v>4116</v>
      </c>
      <c r="I60" s="17">
        <v>4415</v>
      </c>
      <c r="J60" s="17">
        <v>4837</v>
      </c>
      <c r="K60" s="17">
        <v>5646</v>
      </c>
      <c r="L60" s="17">
        <v>5719</v>
      </c>
      <c r="T60" s="30"/>
    </row>
    <row r="61" spans="1:37" x14ac:dyDescent="0.2">
      <c r="A61" s="239" t="s">
        <v>23</v>
      </c>
      <c r="B61" s="97">
        <v>865</v>
      </c>
      <c r="C61" s="17">
        <v>893</v>
      </c>
      <c r="D61" s="17">
        <v>940</v>
      </c>
      <c r="E61" s="17">
        <v>926</v>
      </c>
      <c r="F61" s="17">
        <v>852</v>
      </c>
      <c r="G61" s="17">
        <v>1074</v>
      </c>
      <c r="H61" s="17">
        <v>987</v>
      </c>
      <c r="I61" s="17">
        <v>942</v>
      </c>
      <c r="J61" s="17">
        <v>836</v>
      </c>
      <c r="K61" s="17">
        <v>845</v>
      </c>
      <c r="L61" s="17">
        <v>939</v>
      </c>
      <c r="T61" s="30"/>
    </row>
    <row r="62" spans="1:37" x14ac:dyDescent="0.2">
      <c r="A62" s="239" t="s">
        <v>124</v>
      </c>
      <c r="B62" s="97">
        <v>555</v>
      </c>
      <c r="C62" s="17">
        <v>600</v>
      </c>
      <c r="D62" s="17">
        <v>666</v>
      </c>
      <c r="E62" s="17">
        <v>727</v>
      </c>
      <c r="F62" s="17">
        <v>0</v>
      </c>
      <c r="G62" s="17">
        <v>749</v>
      </c>
      <c r="H62" s="17">
        <v>712</v>
      </c>
      <c r="I62" s="17">
        <v>715</v>
      </c>
      <c r="J62" s="17">
        <v>714</v>
      </c>
      <c r="K62" s="17">
        <v>739</v>
      </c>
      <c r="L62" s="17">
        <v>738</v>
      </c>
      <c r="T62" s="30"/>
    </row>
    <row r="63" spans="1:37" x14ac:dyDescent="0.2">
      <c r="A63" s="239" t="s">
        <v>125</v>
      </c>
      <c r="B63" s="97">
        <v>370</v>
      </c>
      <c r="C63" s="17">
        <v>361</v>
      </c>
      <c r="D63" s="17">
        <v>352</v>
      </c>
      <c r="E63" s="17">
        <v>341</v>
      </c>
      <c r="F63" s="17">
        <v>308</v>
      </c>
      <c r="G63" s="17">
        <v>345</v>
      </c>
      <c r="H63" s="17">
        <v>354</v>
      </c>
      <c r="I63" s="17">
        <v>383</v>
      </c>
      <c r="J63" s="17">
        <v>350</v>
      </c>
      <c r="K63" s="17">
        <v>340</v>
      </c>
      <c r="L63" s="17">
        <v>443</v>
      </c>
      <c r="T63" s="30"/>
    </row>
    <row r="64" spans="1:37" x14ac:dyDescent="0.2">
      <c r="A64" s="239" t="s">
        <v>126</v>
      </c>
      <c r="B64" s="97">
        <v>1825</v>
      </c>
      <c r="C64" s="17">
        <v>2529</v>
      </c>
      <c r="D64" s="17">
        <v>3033</v>
      </c>
      <c r="E64" s="17">
        <v>3217</v>
      </c>
      <c r="F64" s="17">
        <v>3024</v>
      </c>
      <c r="G64" s="17">
        <v>2878</v>
      </c>
      <c r="H64" s="17">
        <v>2655</v>
      </c>
      <c r="I64" s="17">
        <v>2745</v>
      </c>
      <c r="J64" s="17">
        <v>2981</v>
      </c>
      <c r="K64" s="17">
        <v>3614</v>
      </c>
      <c r="L64" s="17">
        <v>3605</v>
      </c>
      <c r="T64" s="30"/>
    </row>
    <row r="65" spans="1:21" x14ac:dyDescent="0.2">
      <c r="A65" s="239" t="s">
        <v>31</v>
      </c>
      <c r="B65" s="97">
        <v>462</v>
      </c>
      <c r="C65" s="17">
        <v>538</v>
      </c>
      <c r="D65" s="17">
        <v>611</v>
      </c>
      <c r="E65" s="17">
        <v>737</v>
      </c>
      <c r="F65" s="17">
        <v>908</v>
      </c>
      <c r="G65" s="17">
        <v>961</v>
      </c>
      <c r="H65" s="17">
        <v>1091</v>
      </c>
      <c r="I65" s="17">
        <v>1343</v>
      </c>
      <c r="J65" s="17">
        <v>1533</v>
      </c>
      <c r="K65" s="17">
        <v>1739</v>
      </c>
      <c r="L65" s="17">
        <v>1900</v>
      </c>
      <c r="T65" s="30"/>
    </row>
    <row r="66" spans="1:21" x14ac:dyDescent="0.2">
      <c r="A66" s="239" t="s">
        <v>33</v>
      </c>
      <c r="B66" s="97">
        <v>2673</v>
      </c>
      <c r="C66" s="17">
        <v>2293</v>
      </c>
      <c r="D66" s="17">
        <v>2981</v>
      </c>
      <c r="E66" s="17">
        <v>2229</v>
      </c>
      <c r="F66" s="17">
        <v>2391</v>
      </c>
      <c r="G66" s="17">
        <v>2777</v>
      </c>
      <c r="H66" s="17">
        <v>3585</v>
      </c>
      <c r="I66" s="17">
        <v>1898</v>
      </c>
      <c r="J66" s="17">
        <v>2617</v>
      </c>
      <c r="K66" s="17">
        <v>1446</v>
      </c>
      <c r="L66" s="17">
        <v>1090</v>
      </c>
      <c r="T66" s="30"/>
    </row>
    <row r="67" spans="1:21" x14ac:dyDescent="0.2">
      <c r="A67" s="239" t="s">
        <v>127</v>
      </c>
      <c r="B67" s="97">
        <v>4784</v>
      </c>
      <c r="C67" s="17">
        <v>4405</v>
      </c>
      <c r="D67" s="17">
        <v>4303</v>
      </c>
      <c r="E67" s="17">
        <v>3563</v>
      </c>
      <c r="F67" s="17">
        <v>5052</v>
      </c>
      <c r="G67" s="17">
        <v>5019</v>
      </c>
      <c r="H67" s="17">
        <v>6460</v>
      </c>
      <c r="I67" s="17">
        <v>6158</v>
      </c>
      <c r="J67" s="17">
        <v>6152</v>
      </c>
      <c r="K67" s="17">
        <v>6142</v>
      </c>
      <c r="L67" s="17">
        <v>14305</v>
      </c>
      <c r="T67" s="30"/>
    </row>
    <row r="68" spans="1:21" x14ac:dyDescent="0.2">
      <c r="A68" s="239" t="s">
        <v>128</v>
      </c>
      <c r="B68" s="97">
        <v>7867</v>
      </c>
      <c r="C68" s="17">
        <v>6884</v>
      </c>
      <c r="D68" s="17">
        <v>9805</v>
      </c>
      <c r="E68" s="17">
        <v>2865</v>
      </c>
      <c r="F68" s="17">
        <v>4129</v>
      </c>
      <c r="G68" s="17">
        <v>3497</v>
      </c>
      <c r="H68" s="17">
        <v>1001</v>
      </c>
      <c r="I68" s="149">
        <v>39</v>
      </c>
      <c r="J68" s="17">
        <v>4918</v>
      </c>
      <c r="K68" s="17">
        <v>3400</v>
      </c>
      <c r="L68" s="17">
        <v>3097</v>
      </c>
      <c r="T68" s="30"/>
    </row>
    <row r="69" spans="1:21" x14ac:dyDescent="0.2">
      <c r="A69" s="239" t="s">
        <v>129</v>
      </c>
      <c r="B69" s="97">
        <v>27744</v>
      </c>
      <c r="C69" s="17">
        <v>28231</v>
      </c>
      <c r="D69" s="17">
        <v>28926</v>
      </c>
      <c r="E69" s="17">
        <v>33439</v>
      </c>
      <c r="F69" s="17">
        <v>35111</v>
      </c>
      <c r="G69" s="17">
        <v>35113</v>
      </c>
      <c r="H69" s="17">
        <v>37908</v>
      </c>
      <c r="I69" s="17">
        <v>38657</v>
      </c>
      <c r="J69" s="17">
        <v>36188</v>
      </c>
      <c r="K69" s="17">
        <v>37046</v>
      </c>
      <c r="L69" s="17">
        <v>49128</v>
      </c>
      <c r="T69" s="30"/>
      <c r="U69" s="31"/>
    </row>
    <row r="70" spans="1:21" x14ac:dyDescent="0.2">
      <c r="A70" s="240" t="s">
        <v>131</v>
      </c>
      <c r="B70" s="26" t="s">
        <v>143</v>
      </c>
      <c r="C70" s="26">
        <v>256</v>
      </c>
      <c r="D70" s="26">
        <v>-53</v>
      </c>
      <c r="E70" s="26">
        <v>325</v>
      </c>
      <c r="F70" s="26">
        <v>1152</v>
      </c>
      <c r="G70" s="26">
        <v>-819</v>
      </c>
      <c r="H70" s="26">
        <v>585</v>
      </c>
      <c r="I70" s="26">
        <v>-3.47</v>
      </c>
      <c r="J70" s="26">
        <v>-109</v>
      </c>
      <c r="K70" s="26">
        <v>-901</v>
      </c>
      <c r="L70" s="150">
        <v>174</v>
      </c>
      <c r="T70" s="30"/>
      <c r="U70" s="31"/>
    </row>
    <row r="71" spans="1:21" x14ac:dyDescent="0.2">
      <c r="A71" s="48"/>
      <c r="O71" s="2"/>
      <c r="T71" s="30"/>
      <c r="U71" s="31"/>
    </row>
    <row r="72" spans="1:21" x14ac:dyDescent="0.2">
      <c r="O72" s="2"/>
    </row>
    <row r="73" spans="1:21" x14ac:dyDescent="0.2">
      <c r="A73" s="8"/>
      <c r="B73" s="8"/>
      <c r="C73" s="8" t="s">
        <v>142</v>
      </c>
      <c r="D73" s="8"/>
      <c r="E73" s="8"/>
      <c r="F73" s="8"/>
      <c r="G73" s="8"/>
      <c r="H73" s="152"/>
      <c r="I73" s="8"/>
      <c r="J73" s="8"/>
      <c r="K73" s="8"/>
      <c r="L73" s="8"/>
      <c r="O73" s="2"/>
    </row>
    <row r="74" spans="1:21" x14ac:dyDescent="0.2">
      <c r="A74" s="215" t="s">
        <v>123</v>
      </c>
      <c r="B74" s="245">
        <v>2015</v>
      </c>
      <c r="C74" s="245">
        <v>2014</v>
      </c>
      <c r="D74" s="245">
        <v>2013</v>
      </c>
      <c r="E74" s="245">
        <v>2012</v>
      </c>
      <c r="F74" s="245">
        <v>2011</v>
      </c>
      <c r="G74" s="245">
        <v>2010</v>
      </c>
      <c r="H74" s="245">
        <v>2009</v>
      </c>
      <c r="I74" s="246">
        <v>2008</v>
      </c>
      <c r="J74" s="245">
        <v>2007</v>
      </c>
      <c r="K74" s="245">
        <v>2006</v>
      </c>
      <c r="L74" s="247">
        <v>2005</v>
      </c>
      <c r="O74" s="2"/>
    </row>
    <row r="75" spans="1:21" x14ac:dyDescent="0.2">
      <c r="A75" s="239" t="s">
        <v>33</v>
      </c>
      <c r="B75" s="15">
        <v>1090</v>
      </c>
      <c r="C75" s="15">
        <v>1446</v>
      </c>
      <c r="D75" s="15">
        <v>2617</v>
      </c>
      <c r="E75" s="15">
        <v>1898</v>
      </c>
      <c r="F75" s="15">
        <v>3585</v>
      </c>
      <c r="G75" s="15">
        <v>2777</v>
      </c>
      <c r="H75" s="15">
        <v>2391</v>
      </c>
      <c r="I75" s="15">
        <v>2229</v>
      </c>
      <c r="J75" s="15">
        <v>2981</v>
      </c>
      <c r="K75" s="15">
        <v>2293</v>
      </c>
      <c r="L75" s="151">
        <v>2673</v>
      </c>
      <c r="O75" s="2"/>
    </row>
    <row r="76" spans="1:21" x14ac:dyDescent="0.2">
      <c r="A76" s="239" t="s">
        <v>89</v>
      </c>
      <c r="B76" s="17">
        <f>8061+4962</f>
        <v>13023</v>
      </c>
      <c r="C76" s="17">
        <f>5877+2804</f>
        <v>8681</v>
      </c>
      <c r="D76" s="17">
        <f>5834+2977</f>
        <v>8811</v>
      </c>
      <c r="E76" s="17">
        <f>6563+2937</f>
        <v>9500</v>
      </c>
      <c r="F76" s="17">
        <f>6064+2481</f>
        <v>8545</v>
      </c>
      <c r="G76" s="17">
        <f>5692+2363</f>
        <v>8055</v>
      </c>
      <c r="H76" s="17">
        <f>6061+2183</f>
        <v>8244</v>
      </c>
      <c r="I76" s="17">
        <f>5296+1902</f>
        <v>7198</v>
      </c>
      <c r="J76" s="17">
        <f>4925+1718</f>
        <v>6643</v>
      </c>
      <c r="K76" s="17">
        <f>4595+1657</f>
        <v>6252</v>
      </c>
      <c r="L76" s="97">
        <f>4579+1921</f>
        <v>6500</v>
      </c>
      <c r="O76" s="2"/>
    </row>
    <row r="77" spans="1:21" x14ac:dyDescent="0.2">
      <c r="A77" s="239" t="s">
        <v>90</v>
      </c>
      <c r="B77" s="17">
        <v>4962</v>
      </c>
      <c r="C77" s="17">
        <v>2804</v>
      </c>
      <c r="D77" s="17">
        <v>2977</v>
      </c>
      <c r="E77" s="17">
        <v>2937</v>
      </c>
      <c r="F77" s="17">
        <v>2481</v>
      </c>
      <c r="G77" s="17">
        <v>2363</v>
      </c>
      <c r="H77" s="17">
        <v>2183</v>
      </c>
      <c r="I77" s="17">
        <v>1902</v>
      </c>
      <c r="J77" s="17">
        <v>1718</v>
      </c>
      <c r="K77" s="17">
        <v>1657</v>
      </c>
      <c r="L77" s="97">
        <v>1921</v>
      </c>
      <c r="O77" s="2"/>
    </row>
    <row r="78" spans="1:21" x14ac:dyDescent="0.2">
      <c r="A78" s="220" t="s">
        <v>93</v>
      </c>
      <c r="B78" s="17">
        <v>16198</v>
      </c>
      <c r="C78" s="17">
        <v>12322</v>
      </c>
      <c r="D78" s="17">
        <v>13329</v>
      </c>
      <c r="E78" s="17">
        <v>13855</v>
      </c>
      <c r="F78" s="17">
        <v>14094</v>
      </c>
      <c r="G78" s="17">
        <v>12893</v>
      </c>
      <c r="H78" s="17">
        <v>12477</v>
      </c>
      <c r="I78" s="17">
        <v>10683</v>
      </c>
      <c r="J78" s="17">
        <v>10940</v>
      </c>
      <c r="K78" s="17">
        <v>10164</v>
      </c>
      <c r="L78" s="97">
        <v>10529</v>
      </c>
      <c r="O78" s="2"/>
    </row>
    <row r="79" spans="1:21" x14ac:dyDescent="0.2">
      <c r="A79" s="239" t="s">
        <v>102</v>
      </c>
      <c r="B79" s="17">
        <f>1974+6988</f>
        <v>8962</v>
      </c>
      <c r="C79" s="17">
        <f>5775+1562</f>
        <v>7337</v>
      </c>
      <c r="D79" s="17">
        <f>6349+1397</f>
        <v>7746</v>
      </c>
      <c r="E79" s="17">
        <f>6503+2038</f>
        <v>8541</v>
      </c>
      <c r="F79" s="17">
        <f>6399+2269</f>
        <v>8668</v>
      </c>
      <c r="G79" s="17">
        <f>5890+1627</f>
        <v>7517</v>
      </c>
      <c r="H79" s="17">
        <f>5049+2030</f>
        <v>7079</v>
      </c>
      <c r="I79" s="17">
        <v>2450</v>
      </c>
      <c r="J79" s="17">
        <f>4254+2163</f>
        <v>6417</v>
      </c>
      <c r="K79" s="17">
        <f>3856+2221</f>
        <v>6077</v>
      </c>
      <c r="L79" s="97">
        <f>4331+1998</f>
        <v>6329</v>
      </c>
      <c r="O79" s="2"/>
    </row>
    <row r="80" spans="1:21" x14ac:dyDescent="0.2">
      <c r="A80" s="239" t="s">
        <v>107</v>
      </c>
      <c r="B80" s="17">
        <v>956</v>
      </c>
      <c r="C80" s="17">
        <v>0</v>
      </c>
      <c r="D80" s="17">
        <v>0</v>
      </c>
      <c r="E80" s="17">
        <v>150</v>
      </c>
      <c r="F80" s="17">
        <v>0</v>
      </c>
      <c r="G80" s="17">
        <v>0</v>
      </c>
      <c r="H80" s="17">
        <v>0</v>
      </c>
      <c r="I80" s="17">
        <v>242</v>
      </c>
      <c r="J80" s="17">
        <v>104</v>
      </c>
      <c r="K80" s="17">
        <v>34</v>
      </c>
      <c r="L80" s="97">
        <v>202</v>
      </c>
      <c r="O80" s="2"/>
    </row>
    <row r="81" spans="1:15" x14ac:dyDescent="0.2">
      <c r="A81" s="220" t="s">
        <v>111</v>
      </c>
      <c r="B81" s="17">
        <v>14057</v>
      </c>
      <c r="C81" s="17">
        <v>11112</v>
      </c>
      <c r="D81" s="17">
        <v>11120</v>
      </c>
      <c r="E81" s="17">
        <v>12155</v>
      </c>
      <c r="F81" s="17">
        <v>12130</v>
      </c>
      <c r="G81" s="17">
        <v>11401</v>
      </c>
      <c r="H81" s="17">
        <v>10703</v>
      </c>
      <c r="I81" s="17">
        <f t="shared" ref="I81" si="55">5296+1902</f>
        <v>7198</v>
      </c>
      <c r="J81" s="17">
        <v>9871</v>
      </c>
      <c r="K81" s="17">
        <v>9553</v>
      </c>
      <c r="L81" s="97">
        <v>9428</v>
      </c>
      <c r="O81" s="2"/>
    </row>
    <row r="82" spans="1:15" x14ac:dyDescent="0.2">
      <c r="A82" s="239" t="s">
        <v>114</v>
      </c>
      <c r="B82" s="17">
        <v>5438</v>
      </c>
      <c r="C82" s="17">
        <v>4751</v>
      </c>
      <c r="D82" s="17">
        <v>4706</v>
      </c>
      <c r="E82" s="17">
        <v>4675</v>
      </c>
      <c r="F82" s="17">
        <v>4611</v>
      </c>
      <c r="G82" s="17">
        <v>4554</v>
      </c>
      <c r="H82" s="17">
        <v>4520</v>
      </c>
      <c r="I82" s="17">
        <v>19464</v>
      </c>
      <c r="J82" s="17">
        <v>4320</v>
      </c>
      <c r="K82" s="17">
        <v>4056</v>
      </c>
      <c r="L82" s="97">
        <v>3924</v>
      </c>
      <c r="O82" s="2"/>
    </row>
    <row r="83" spans="1:15" x14ac:dyDescent="0.2">
      <c r="A83" s="239" t="s">
        <v>130</v>
      </c>
      <c r="B83" s="17">
        <v>4147</v>
      </c>
      <c r="C83" s="17">
        <v>324</v>
      </c>
      <c r="D83" s="17">
        <v>0</v>
      </c>
      <c r="E83" s="17">
        <v>0</v>
      </c>
      <c r="F83" s="17">
        <v>0</v>
      </c>
      <c r="G83" s="17">
        <v>0</v>
      </c>
      <c r="H83" s="17">
        <v>311</v>
      </c>
      <c r="I83" s="17">
        <v>28245</v>
      </c>
      <c r="J83" s="17">
        <v>463</v>
      </c>
      <c r="K83" s="17">
        <v>605</v>
      </c>
      <c r="L83" s="97">
        <v>560</v>
      </c>
      <c r="O83" s="2"/>
    </row>
    <row r="84" spans="1:15" x14ac:dyDescent="0.2">
      <c r="A84" s="239" t="s">
        <v>132</v>
      </c>
      <c r="B84" s="17">
        <v>14305</v>
      </c>
      <c r="C84" s="17">
        <v>6142</v>
      </c>
      <c r="D84" s="17">
        <v>6152</v>
      </c>
      <c r="E84" s="17">
        <v>6158</v>
      </c>
      <c r="F84" s="17">
        <v>6460</v>
      </c>
      <c r="G84" s="17">
        <v>5019</v>
      </c>
      <c r="H84" s="17">
        <v>5052</v>
      </c>
      <c r="I84" s="17">
        <v>2892</v>
      </c>
      <c r="J84" s="17">
        <v>4303</v>
      </c>
      <c r="K84" s="17">
        <v>4405</v>
      </c>
      <c r="L84" s="97">
        <v>4784</v>
      </c>
      <c r="O84" s="2"/>
    </row>
    <row r="85" spans="1:15" x14ac:dyDescent="0.2">
      <c r="A85" s="221" t="s">
        <v>133</v>
      </c>
      <c r="B85" s="26">
        <v>49128</v>
      </c>
      <c r="C85" s="26">
        <v>37046</v>
      </c>
      <c r="D85" s="26">
        <v>36188</v>
      </c>
      <c r="E85" s="26">
        <v>38657</v>
      </c>
      <c r="F85" s="26">
        <v>37908</v>
      </c>
      <c r="G85" s="26">
        <v>35113</v>
      </c>
      <c r="H85" s="26">
        <v>35111</v>
      </c>
      <c r="I85" s="26">
        <v>3113</v>
      </c>
      <c r="J85" s="26">
        <v>28926</v>
      </c>
      <c r="K85" s="26">
        <v>28231</v>
      </c>
      <c r="L85" s="46">
        <v>27744</v>
      </c>
      <c r="O85" s="2"/>
    </row>
    <row r="86" spans="1:15" x14ac:dyDescent="0.2">
      <c r="O86" s="2"/>
    </row>
    <row r="91" spans="1:15" x14ac:dyDescent="0.2">
      <c r="C91" s="243"/>
      <c r="D91" s="236">
        <v>2005</v>
      </c>
      <c r="E91" s="236">
        <v>2006</v>
      </c>
      <c r="F91" s="236">
        <v>2007</v>
      </c>
      <c r="G91" s="236">
        <v>2008</v>
      </c>
      <c r="H91" s="236">
        <v>2009</v>
      </c>
      <c r="I91" s="236">
        <v>2010</v>
      </c>
      <c r="J91" s="236">
        <v>2011</v>
      </c>
      <c r="K91" s="236">
        <v>2012</v>
      </c>
      <c r="L91" s="236">
        <v>2013</v>
      </c>
      <c r="M91" s="236">
        <v>2014</v>
      </c>
      <c r="N91" s="237">
        <v>2015</v>
      </c>
    </row>
    <row r="92" spans="1:15" x14ac:dyDescent="0.2">
      <c r="C92" s="244" t="s">
        <v>134</v>
      </c>
      <c r="D92" s="129"/>
      <c r="E92" s="130"/>
      <c r="F92" s="130"/>
      <c r="G92" s="130"/>
      <c r="H92" s="130"/>
      <c r="I92" s="130"/>
      <c r="J92" s="129"/>
      <c r="K92" s="129"/>
      <c r="L92" s="129"/>
      <c r="M92" s="129"/>
      <c r="N92" s="91"/>
    </row>
    <row r="93" spans="1:15" x14ac:dyDescent="0.2">
      <c r="C93" s="220" t="s">
        <v>25</v>
      </c>
      <c r="D93" s="131">
        <f t="shared" ref="D93:N93" si="56">B$64+B$62</f>
        <v>2380</v>
      </c>
      <c r="E93" s="131">
        <f t="shared" si="56"/>
        <v>3129</v>
      </c>
      <c r="F93" s="131">
        <f t="shared" si="56"/>
        <v>3699</v>
      </c>
      <c r="G93" s="131">
        <f t="shared" si="56"/>
        <v>3944</v>
      </c>
      <c r="H93" s="131">
        <f t="shared" si="56"/>
        <v>3024</v>
      </c>
      <c r="I93" s="131">
        <f t="shared" si="56"/>
        <v>3627</v>
      </c>
      <c r="J93" s="131">
        <f t="shared" si="56"/>
        <v>3367</v>
      </c>
      <c r="K93" s="131">
        <f t="shared" si="56"/>
        <v>3460</v>
      </c>
      <c r="L93" s="131">
        <f t="shared" si="56"/>
        <v>3695</v>
      </c>
      <c r="M93" s="131">
        <f t="shared" si="56"/>
        <v>4353</v>
      </c>
      <c r="N93" s="132">
        <f t="shared" si="56"/>
        <v>4343</v>
      </c>
    </row>
    <row r="94" spans="1:15" x14ac:dyDescent="0.2">
      <c r="C94" s="220" t="s">
        <v>1166</v>
      </c>
      <c r="D94" s="131">
        <f t="shared" ref="D94:N94" si="57">B$63*(1-B$22)</f>
        <v>258.11200000000002</v>
      </c>
      <c r="E94" s="131">
        <f t="shared" si="57"/>
        <v>254.18009999999998</v>
      </c>
      <c r="F94" s="131">
        <f t="shared" si="57"/>
        <v>244.4288</v>
      </c>
      <c r="G94" s="133">
        <f t="shared" si="57"/>
        <v>233.31219999999996</v>
      </c>
      <c r="H94" s="131">
        <f t="shared" si="57"/>
        <v>218.37200000000001</v>
      </c>
      <c r="I94" s="131">
        <f t="shared" si="57"/>
        <v>238.70549999999997</v>
      </c>
      <c r="J94" s="131">
        <f t="shared" si="57"/>
        <v>242.84399999999999</v>
      </c>
      <c r="K94" s="131">
        <f t="shared" si="57"/>
        <v>257.75900000000001</v>
      </c>
      <c r="L94" s="131">
        <f t="shared" si="57"/>
        <v>241.15000000000003</v>
      </c>
      <c r="M94" s="131">
        <f t="shared" si="57"/>
        <v>239.02</v>
      </c>
      <c r="N94" s="132">
        <f t="shared" si="57"/>
        <v>320.28899999999999</v>
      </c>
    </row>
    <row r="95" spans="1:15" x14ac:dyDescent="0.2">
      <c r="C95" s="220" t="s">
        <v>135</v>
      </c>
      <c r="D95" s="134">
        <f>D$93-B$61+D$94+L$70</f>
        <v>1947.1120000000001</v>
      </c>
      <c r="E95" s="134">
        <f>E$93-C$61+E$94+K$70</f>
        <v>1589.1801</v>
      </c>
      <c r="F95" s="134">
        <f>F$93-D$61+F$94+J$70</f>
        <v>2894.4288000000001</v>
      </c>
      <c r="G95" s="135">
        <f>G$93-E$61+G$94+I$70</f>
        <v>3247.8422</v>
      </c>
      <c r="H95" s="134">
        <f>H$93-F$61+H$94+H$70</f>
        <v>2975.3719999999998</v>
      </c>
      <c r="I95" s="134">
        <f>I$93-G$61+I$94+G$70</f>
        <v>1972.7055</v>
      </c>
      <c r="J95" s="134">
        <f>J$93-H$61+J$94+F$70</f>
        <v>3774.8440000000001</v>
      </c>
      <c r="K95" s="134">
        <f>K$93-I$61+K$94+E$70</f>
        <v>3100.759</v>
      </c>
      <c r="L95" s="134">
        <f>L$93-J$61+L$94+D$70</f>
        <v>3047.15</v>
      </c>
      <c r="M95" s="134">
        <f>M$93-K$61+M$94+C$70</f>
        <v>4003.02</v>
      </c>
      <c r="N95" s="135">
        <f>N$93-L$61+N$94+L70</f>
        <v>3898.2889999999998</v>
      </c>
    </row>
    <row r="96" spans="1:15" x14ac:dyDescent="0.2">
      <c r="C96" s="220"/>
      <c r="D96" s="129"/>
      <c r="E96" s="136"/>
      <c r="F96" s="137"/>
      <c r="G96" s="136"/>
      <c r="H96" s="136"/>
      <c r="I96" s="136"/>
      <c r="J96" s="129"/>
      <c r="K96" s="129"/>
      <c r="L96" s="129"/>
      <c r="M96" s="129"/>
      <c r="N96" s="91"/>
    </row>
    <row r="97" spans="2:14" x14ac:dyDescent="0.2">
      <c r="C97" s="244" t="s">
        <v>136</v>
      </c>
      <c r="D97" s="103"/>
      <c r="E97" s="138"/>
      <c r="F97" s="139"/>
      <c r="G97" s="138"/>
      <c r="H97" s="138"/>
      <c r="I97" s="138"/>
      <c r="J97" s="103"/>
      <c r="K97" s="103"/>
      <c r="L97" s="103"/>
      <c r="M97" s="103"/>
      <c r="N97" s="91"/>
    </row>
    <row r="98" spans="2:14" x14ac:dyDescent="0.2">
      <c r="C98" s="244" t="s">
        <v>19</v>
      </c>
      <c r="D98" s="138">
        <f t="shared" ref="D98:N98" si="58">B$60</f>
        <v>2986</v>
      </c>
      <c r="E98" s="138">
        <f t="shared" si="58"/>
        <v>3953</v>
      </c>
      <c r="F98" s="139">
        <f t="shared" si="58"/>
        <v>4527</v>
      </c>
      <c r="G98" s="138">
        <f t="shared" si="58"/>
        <v>5131</v>
      </c>
      <c r="H98" s="138">
        <f t="shared" si="58"/>
        <v>4439</v>
      </c>
      <c r="I98" s="138">
        <f t="shared" si="58"/>
        <v>4269</v>
      </c>
      <c r="J98" s="138">
        <f t="shared" si="58"/>
        <v>4116</v>
      </c>
      <c r="K98" s="138">
        <f t="shared" si="58"/>
        <v>4415</v>
      </c>
      <c r="L98" s="138">
        <f t="shared" si="58"/>
        <v>4837</v>
      </c>
      <c r="M98" s="138">
        <f t="shared" si="58"/>
        <v>5646</v>
      </c>
      <c r="N98" s="139">
        <f t="shared" si="58"/>
        <v>5719</v>
      </c>
    </row>
    <row r="99" spans="2:14" x14ac:dyDescent="0.2">
      <c r="C99" s="220" t="s">
        <v>137</v>
      </c>
      <c r="D99" s="140">
        <f t="shared" ref="D99:N99" si="59">D$98*B$22</f>
        <v>902.96640000000002</v>
      </c>
      <c r="E99" s="140">
        <f t="shared" si="59"/>
        <v>1169.6927000000001</v>
      </c>
      <c r="F99" s="141">
        <f t="shared" si="59"/>
        <v>1383.4512</v>
      </c>
      <c r="G99" s="140">
        <f t="shared" si="59"/>
        <v>1620.3698000000002</v>
      </c>
      <c r="H99" s="140">
        <f t="shared" si="59"/>
        <v>1291.749</v>
      </c>
      <c r="I99" s="140">
        <f t="shared" si="59"/>
        <v>1315.2789</v>
      </c>
      <c r="J99" s="140">
        <f t="shared" si="59"/>
        <v>1292.424</v>
      </c>
      <c r="K99" s="140">
        <f t="shared" si="59"/>
        <v>1443.7050000000002</v>
      </c>
      <c r="L99" s="140">
        <f t="shared" si="59"/>
        <v>1504.307</v>
      </c>
      <c r="M99" s="140">
        <f t="shared" si="59"/>
        <v>1676.8619999999999</v>
      </c>
      <c r="N99" s="141">
        <f t="shared" si="59"/>
        <v>1584.1630000000002</v>
      </c>
    </row>
    <row r="100" spans="2:14" x14ac:dyDescent="0.2">
      <c r="C100" s="220" t="s">
        <v>138</v>
      </c>
      <c r="D100" s="136">
        <f t="shared" ref="D100:L100" si="60">D$98-D$99</f>
        <v>2083.0335999999998</v>
      </c>
      <c r="E100" s="136">
        <f t="shared" si="60"/>
        <v>2783.3072999999999</v>
      </c>
      <c r="F100" s="137">
        <f t="shared" si="60"/>
        <v>3143.5488</v>
      </c>
      <c r="G100" s="136">
        <f t="shared" si="60"/>
        <v>3510.6301999999996</v>
      </c>
      <c r="H100" s="136">
        <f t="shared" si="60"/>
        <v>3147.2510000000002</v>
      </c>
      <c r="I100" s="136">
        <f t="shared" si="60"/>
        <v>2953.7210999999998</v>
      </c>
      <c r="J100" s="136">
        <f t="shared" si="60"/>
        <v>2823.576</v>
      </c>
      <c r="K100" s="136">
        <f t="shared" si="60"/>
        <v>2971.2950000000001</v>
      </c>
      <c r="L100" s="136">
        <f t="shared" si="60"/>
        <v>3332.6930000000002</v>
      </c>
      <c r="M100" s="136">
        <f t="shared" ref="M100:N100" si="61">M$98-M$99</f>
        <v>3969.1379999999999</v>
      </c>
      <c r="N100" s="137">
        <f t="shared" si="61"/>
        <v>4134.8369999999995</v>
      </c>
    </row>
    <row r="101" spans="2:14" x14ac:dyDescent="0.2">
      <c r="C101" s="220" t="s">
        <v>135</v>
      </c>
      <c r="D101" s="142">
        <f>D$100-B$61+L$70+B$62</f>
        <v>1947.0335999999998</v>
      </c>
      <c r="E101" s="143">
        <f>E$100-C$61+K$70+C$62</f>
        <v>1589.3072999999999</v>
      </c>
      <c r="F101" s="143">
        <f>F$100-D$61+J$70+D$62</f>
        <v>2760.5488</v>
      </c>
      <c r="G101" s="142">
        <f>G$100-E$61+I$70+E$62</f>
        <v>3308.1601999999998</v>
      </c>
      <c r="H101" s="142">
        <f>H$100-F$61+H$70+F$62</f>
        <v>2880.2510000000002</v>
      </c>
      <c r="I101" s="142">
        <f>I$100-G$61+G$70+G$62</f>
        <v>1809.7210999999998</v>
      </c>
      <c r="J101" s="142">
        <f>J$100-H$61+F$70+H$62</f>
        <v>3700.576</v>
      </c>
      <c r="K101" s="142">
        <f>K$100-I$61+E$70+I$62</f>
        <v>3069.2950000000001</v>
      </c>
      <c r="L101" s="142">
        <f>L$100-J$61+D$70+J$62</f>
        <v>3157.6930000000002</v>
      </c>
      <c r="M101" s="142">
        <f>M$100-K$61+C$70+K$62</f>
        <v>4119.1379999999999</v>
      </c>
      <c r="N101" s="143">
        <f>N$100-L$61+L70+L$62</f>
        <v>4107.8369999999995</v>
      </c>
    </row>
    <row r="102" spans="2:14" x14ac:dyDescent="0.2">
      <c r="C102" s="220"/>
      <c r="D102" s="103"/>
      <c r="E102" s="91"/>
      <c r="F102" s="91"/>
      <c r="G102" s="103"/>
      <c r="H102" s="103"/>
      <c r="I102" s="103"/>
      <c r="J102" s="103"/>
      <c r="K102" s="103"/>
      <c r="L102" s="103"/>
      <c r="M102" s="103"/>
      <c r="N102" s="91"/>
    </row>
    <row r="103" spans="2:14" x14ac:dyDescent="0.2">
      <c r="C103" s="220" t="s">
        <v>139</v>
      </c>
      <c r="D103" s="140" t="e">
        <f>B$67-A$67</f>
        <v>#VALUE!</v>
      </c>
      <c r="E103" s="141">
        <f t="shared" ref="E103:N103" si="62">C$67-B$67</f>
        <v>-379</v>
      </c>
      <c r="F103" s="144">
        <f t="shared" si="62"/>
        <v>-102</v>
      </c>
      <c r="G103" s="140">
        <f t="shared" si="62"/>
        <v>-740</v>
      </c>
      <c r="H103" s="140">
        <f t="shared" si="62"/>
        <v>1489</v>
      </c>
      <c r="I103" s="140">
        <f t="shared" si="62"/>
        <v>-33</v>
      </c>
      <c r="J103" s="140">
        <f t="shared" si="62"/>
        <v>1441</v>
      </c>
      <c r="K103" s="140">
        <f t="shared" si="62"/>
        <v>-302</v>
      </c>
      <c r="L103" s="140">
        <f t="shared" si="62"/>
        <v>-6</v>
      </c>
      <c r="M103" s="140">
        <f t="shared" si="62"/>
        <v>-10</v>
      </c>
      <c r="N103" s="141">
        <f t="shared" si="62"/>
        <v>8163</v>
      </c>
    </row>
    <row r="104" spans="2:14" x14ac:dyDescent="0.2">
      <c r="C104" s="221" t="s">
        <v>140</v>
      </c>
      <c r="D104" s="145" t="e">
        <f t="shared" ref="D104:L104" si="63">D$101-D$94+D$103</f>
        <v>#VALUE!</v>
      </c>
      <c r="E104" s="146">
        <f t="shared" si="63"/>
        <v>956.1271999999999</v>
      </c>
      <c r="F104" s="146">
        <f t="shared" si="63"/>
        <v>2414.12</v>
      </c>
      <c r="G104" s="145">
        <f t="shared" si="63"/>
        <v>2334.848</v>
      </c>
      <c r="H104" s="145">
        <f t="shared" si="63"/>
        <v>4150.8790000000008</v>
      </c>
      <c r="I104" s="145">
        <f t="shared" si="63"/>
        <v>1538.0155999999997</v>
      </c>
      <c r="J104" s="145">
        <f t="shared" si="63"/>
        <v>4898.732</v>
      </c>
      <c r="K104" s="145">
        <f t="shared" si="63"/>
        <v>2509.5360000000001</v>
      </c>
      <c r="L104" s="145">
        <f t="shared" si="63"/>
        <v>2910.5430000000001</v>
      </c>
      <c r="M104" s="145">
        <f t="shared" ref="M104:N104" si="64">M$101-M$94+M$103</f>
        <v>3870.1179999999999</v>
      </c>
      <c r="N104" s="146">
        <f t="shared" si="64"/>
        <v>11950.547999999999</v>
      </c>
    </row>
    <row r="105" spans="2:14" x14ac:dyDescent="0.2">
      <c r="D105" s="32"/>
      <c r="E105" s="32"/>
      <c r="F105" s="32"/>
      <c r="G105" s="32"/>
      <c r="H105" s="32"/>
    </row>
    <row r="106" spans="2:14" x14ac:dyDescent="0.2">
      <c r="B106" s="33"/>
      <c r="C106" s="33"/>
      <c r="D106" s="34"/>
      <c r="E106" s="12"/>
      <c r="F106" s="12"/>
      <c r="G106" s="12"/>
      <c r="H106" s="12"/>
    </row>
  </sheetData>
  <mergeCells count="1">
    <mergeCell ref="R4:S4"/>
  </mergeCells>
  <phoneticPr fontId="18" type="noConversion"/>
  <dataValidations disablePrompts="1" count="7">
    <dataValidation type="list" allowBlank="1" showInputMessage="1" showErrorMessage="1" sqref="D45" xr:uid="{00000000-0002-0000-0100-000000000000}">
      <formula1>$AF$43:$AL$43</formula1>
    </dataValidation>
    <dataValidation type="list" allowBlank="1" showInputMessage="1" showErrorMessage="1" sqref="D46" xr:uid="{00000000-0002-0000-0100-000001000000}">
      <formula1>$AF$44:$AJ$44</formula1>
    </dataValidation>
    <dataValidation type="list" allowBlank="1" showInputMessage="1" showErrorMessage="1" sqref="D47" xr:uid="{00000000-0002-0000-0100-000002000000}">
      <formula1>$AF$45:$AK$45</formula1>
    </dataValidation>
    <dataValidation type="list" allowBlank="1" showInputMessage="1" showErrorMessage="1" sqref="D48" xr:uid="{00000000-0002-0000-0100-000003000000}">
      <formula1>$AF$46:$AI$46</formula1>
    </dataValidation>
    <dataValidation type="list" allowBlank="1" showInputMessage="1" showErrorMessage="1" sqref="D49" xr:uid="{00000000-0002-0000-0100-000004000000}">
      <formula1>$AF$47:$AK$47</formula1>
    </dataValidation>
    <dataValidation type="list" allowBlank="1" showInputMessage="1" showErrorMessage="1" sqref="D50" xr:uid="{00000000-0002-0000-0100-000005000000}">
      <formula1>$AF$48:$AJ$48</formula1>
    </dataValidation>
    <dataValidation type="list" allowBlank="1" showInputMessage="1" showErrorMessage="1" sqref="D52" xr:uid="{00000000-0002-0000-0100-000006000000}">
      <formula1>$AG$50:$AK$50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35"/>
  <sheetViews>
    <sheetView topLeftCell="A30" workbookViewId="0">
      <selection activeCell="R37" sqref="R37"/>
    </sheetView>
  </sheetViews>
  <sheetFormatPr baseColWidth="10" defaultColWidth="8.83203125" defaultRowHeight="16" x14ac:dyDescent="0.2"/>
  <cols>
    <col min="1" max="1" width="11.5" customWidth="1"/>
    <col min="3" max="3" width="9.33203125" bestFit="1" customWidth="1"/>
  </cols>
  <sheetData>
    <row r="2" spans="1:18" x14ac:dyDescent="0.2">
      <c r="A2" s="399" t="s">
        <v>147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1"/>
    </row>
    <row r="3" spans="1:18" x14ac:dyDescent="0.2">
      <c r="A3" s="402"/>
      <c r="B3" s="402">
        <v>2005</v>
      </c>
      <c r="C3" s="402">
        <v>2006</v>
      </c>
      <c r="D3" s="402">
        <v>2007</v>
      </c>
      <c r="E3" s="402">
        <v>2008</v>
      </c>
      <c r="F3" s="402">
        <v>2009</v>
      </c>
      <c r="G3" s="402">
        <v>2010</v>
      </c>
      <c r="H3" s="402">
        <v>2011</v>
      </c>
      <c r="I3" s="402">
        <v>2012</v>
      </c>
      <c r="J3" s="402">
        <v>2013</v>
      </c>
      <c r="K3" s="402">
        <v>2014</v>
      </c>
      <c r="L3" s="402">
        <v>2015</v>
      </c>
      <c r="M3" s="403" t="s">
        <v>1165</v>
      </c>
    </row>
    <row r="4" spans="1:18" x14ac:dyDescent="0.2">
      <c r="A4" s="404" t="s">
        <v>144</v>
      </c>
      <c r="B4" s="405"/>
      <c r="C4" s="405"/>
      <c r="D4" s="406">
        <f>(DCF!D27-DCF!B27)/SUM(DCF!B9-DCF!B14, DCF!C9-DCF!C14, DCF!D9-DCF!D14)</f>
        <v>3.1175114920921909</v>
      </c>
      <c r="E4" s="406">
        <f>(DCF!E27-DCF!C27)/SUM(DCF!C9-DCF!C14, DCF!D9-DCF!D14, DCF!E9-DCF!E14)</f>
        <v>0.9569750148042695</v>
      </c>
      <c r="F4" s="407">
        <f>(DCF!F27-DCF!D27)/SUM(DCF!D9-DCF!D14, DCF!E9-DCF!E14, DCF!F9-DCF!F14)</f>
        <v>-1.6584188526628305</v>
      </c>
      <c r="G4" s="406">
        <f>(DCF!G27-DCF!E27)/SUM(DCF!E9-DCF!E14, DCF!F9-DCF!F14, DCF!G9-DCF!G14)</f>
        <v>-0.96715985876953459</v>
      </c>
      <c r="H4" s="406">
        <f>(DCF!H27-DCF!F27)/SUM(DCF!F9-DCF!F14, DCF!G9-DCF!G14, DCF!H9-DCF!H14)</f>
        <v>0.14008963509916866</v>
      </c>
      <c r="I4" s="406">
        <f>(DCF!I27-DCF!G27)/SUM(DCF!G9-DCF!G14, DCF!H9-DCF!H14, DCF!I9-DCF!I14)</f>
        <v>0.70556898099438581</v>
      </c>
      <c r="J4" s="406">
        <f>(DCF!J27-DCF!H27)/SUM(DCF!H9-DCF!H14, DCF!I9-DCF!I14, DCF!J9-DCF!J14)</f>
        <v>3.2252741476209383</v>
      </c>
      <c r="K4" s="406">
        <f>(DCF!K27-DCF!I27)/SUM(DCF!I9-DCF!I14, DCF!J9-DCF!J14, DCF!K9-DCF!K14)</f>
        <v>5.705173317930603</v>
      </c>
      <c r="L4" s="406">
        <f>(DCF!L27-DCF!J27)/SUM(DCF!J9-DCF!J14, DCF!K9-DCF!K14, DCF!L9-DCF!L14)</f>
        <v>5.4613490541032217</v>
      </c>
      <c r="M4" s="279">
        <f>AVERAGE(D4:L4)</f>
        <v>1.8540403256902682</v>
      </c>
    </row>
    <row r="5" spans="1:18" x14ac:dyDescent="0.2">
      <c r="A5" s="408" t="s">
        <v>145</v>
      </c>
      <c r="B5" s="409"/>
      <c r="C5" s="409"/>
      <c r="D5" s="409"/>
      <c r="E5" s="409"/>
      <c r="F5" s="410">
        <f>(DCF!F27-DCF!B27)/SUM(DCF!B9-DCF!B14,DCF!C9-DCF!C14,DCF!D9-DCF!D14,DCF!E9-DCF!E14,DCF!F9-DCF!F14)</f>
        <v>0.5236994575385866</v>
      </c>
      <c r="G5" s="410">
        <f>(DCF!G27-DCF!C27)/SUM(DCF!C9-DCF!C14,DCF!D9-DCF!D14,DCF!E9-DCF!E14,DCF!F9-DCF!F14,DCF!G9-DCF!G14)</f>
        <v>-1.6399355152410939E-2</v>
      </c>
      <c r="H5" s="410">
        <f>(DCF!H27-DCF!D27)/SUM(DCF!D9-DCF!D14,DCF!E9-DCF!E14,DCF!F9-DCF!F14,DCF!G9-DCF!G14,DCF!H9-DCF!H14)</f>
        <v>-0.98030755166164241</v>
      </c>
      <c r="I5" s="411">
        <f>(DCF!I27-DCF!E27)/SUM(DCF!E9-DCF!E14,DCF!F9-DCF!F14,DCF!G9-DCF!G14,DCF!H9-DCF!H14,DCF!I9-DCF!I14)</f>
        <v>-0.2448513414834588</v>
      </c>
      <c r="J5" s="410">
        <f>(DCF!J27-DCF!F27)/SUM(DCF!F9-DCF!F14,DCF!G9-DCF!G14,DCF!H9-DCF!H14,DCF!I9-DCF!I14,DCF!J9-DCF!J14)</f>
        <v>1.883590049333185</v>
      </c>
      <c r="K5" s="410">
        <f>(DCF!K27-DCF!G27)/SUM(DCF!G9-DCF!G14,DCF!H9-DCF!H14,DCF!I9-DCF!I14,DCF!J9-DCF!J14,DCF!K9-DCF!K14)</f>
        <v>3.8196192195253151</v>
      </c>
      <c r="L5" s="410">
        <f>(DCF!L27-DCF!H27)/SUM(DCF!H9-DCF!H14,DCF!I9-DCF!I14,DCF!J9-DCF!J14,DCF!K9-DCF!K14,DCF!L9-DCF!L14)</f>
        <v>5.2388583008708185</v>
      </c>
      <c r="M5" s="279">
        <f>AVERAGE(F5:L5)</f>
        <v>1.4606012541386275</v>
      </c>
    </row>
    <row r="6" spans="1:18" x14ac:dyDescent="0.2">
      <c r="A6" s="412" t="s">
        <v>146</v>
      </c>
      <c r="B6" s="413"/>
      <c r="C6" s="413"/>
      <c r="D6" s="413"/>
      <c r="E6" s="413"/>
      <c r="F6" s="413"/>
      <c r="G6" s="413"/>
      <c r="H6" s="413"/>
      <c r="I6" s="413"/>
      <c r="J6" s="414"/>
      <c r="K6" s="415">
        <f>(DCF!K27-DCF!B27)/SUM(DCF!B9-DCF!B14,DCF!C9-DCF!C14,DCF!D9-DCF!D14,DCF!E9-DCF!E14,DCF!F9-DCF!F14,DCF!G9-DCF!G14,DCF!H9-DCF!H14,DCF!I9-DCF!I14,DCF!J9-DCF!J14,DCF!K9-DCF!K14)</f>
        <v>2.2561798279562897</v>
      </c>
      <c r="L6" s="415">
        <f>(DCF!L27-DCF!C27)/SUM(DCF!C9-DCF!C14,DCF!D9-DCF!D14,DCF!E9-DCF!E14,DCF!F9-DCF!F14,DCF!G9-DCF!G14,DCF!H9-DCF!H14,DCF!I9-DCF!I14,DCF!J9-DCF!J14,DCF!K9-DCF!K14,DCF!L9-DCF!L14)</f>
        <v>2.4264142027308147</v>
      </c>
      <c r="M6" s="416">
        <f>AVERAGE(K6:L6)</f>
        <v>2.3412970153435522</v>
      </c>
    </row>
    <row r="7" spans="1:18" x14ac:dyDescent="0.2">
      <c r="A7" s="417"/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</row>
    <row r="8" spans="1:18" x14ac:dyDescent="0.2">
      <c r="A8" s="399" t="s">
        <v>148</v>
      </c>
      <c r="B8" s="399"/>
      <c r="C8" s="400"/>
      <c r="D8" s="400"/>
      <c r="E8" s="400"/>
      <c r="F8" s="400"/>
      <c r="G8" s="400"/>
      <c r="H8" s="400"/>
      <c r="I8" s="400"/>
      <c r="J8" s="400"/>
      <c r="K8" s="400"/>
      <c r="L8" s="400"/>
      <c r="M8" s="418"/>
    </row>
    <row r="9" spans="1:18" x14ac:dyDescent="0.2">
      <c r="A9" s="417"/>
      <c r="B9" s="417"/>
      <c r="C9" s="417"/>
      <c r="D9" s="417"/>
      <c r="E9" s="417"/>
      <c r="F9" s="417"/>
      <c r="G9" s="417"/>
      <c r="H9" s="417"/>
      <c r="I9" s="417"/>
      <c r="J9" s="417"/>
      <c r="K9" s="417"/>
      <c r="L9" s="417"/>
      <c r="M9" s="417"/>
    </row>
    <row r="10" spans="1:18" x14ac:dyDescent="0.2">
      <c r="A10" s="417"/>
      <c r="B10" s="417"/>
      <c r="C10" s="417"/>
      <c r="D10" s="417"/>
      <c r="E10" s="417"/>
      <c r="F10" s="417"/>
      <c r="G10" s="417"/>
      <c r="H10" s="417"/>
      <c r="I10" s="417"/>
      <c r="J10" s="417"/>
      <c r="K10" s="417"/>
      <c r="L10" s="417"/>
      <c r="M10" s="417"/>
    </row>
    <row r="11" spans="1:18" x14ac:dyDescent="0.2">
      <c r="A11" s="417"/>
      <c r="B11" s="417"/>
      <c r="C11" s="417"/>
      <c r="D11" s="417"/>
      <c r="E11" s="417"/>
      <c r="F11" s="417"/>
      <c r="G11" s="417"/>
      <c r="H11" s="417"/>
      <c r="I11" s="417"/>
      <c r="J11" s="417"/>
      <c r="K11" s="417"/>
      <c r="L11" s="417"/>
      <c r="M11" s="417"/>
    </row>
    <row r="12" spans="1:18" x14ac:dyDescent="0.2">
      <c r="A12" s="417"/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</row>
    <row r="13" spans="1:18" x14ac:dyDescent="0.2">
      <c r="A13" s="417" t="s">
        <v>149</v>
      </c>
      <c r="B13" s="417"/>
      <c r="C13" s="417"/>
      <c r="D13" s="417"/>
      <c r="E13" s="417"/>
      <c r="F13" s="417"/>
      <c r="G13" s="417"/>
      <c r="H13" s="417"/>
      <c r="I13" s="417"/>
      <c r="J13" s="417"/>
      <c r="K13" s="417"/>
      <c r="L13" s="417"/>
      <c r="M13" s="417"/>
    </row>
    <row r="14" spans="1:18" x14ac:dyDescent="0.2">
      <c r="A14" s="417"/>
      <c r="B14" s="417" t="s">
        <v>150</v>
      </c>
      <c r="C14" s="417" t="s">
        <v>151</v>
      </c>
      <c r="D14" s="417" t="s">
        <v>152</v>
      </c>
      <c r="E14" s="417" t="s">
        <v>153</v>
      </c>
      <c r="F14" s="417" t="s">
        <v>154</v>
      </c>
      <c r="G14" s="417" t="s">
        <v>155</v>
      </c>
      <c r="H14" s="417"/>
      <c r="I14" s="417"/>
      <c r="J14" s="417"/>
      <c r="K14" s="419" t="s">
        <v>1075</v>
      </c>
      <c r="L14" s="417"/>
      <c r="M14" s="417"/>
    </row>
    <row r="15" spans="1:18" x14ac:dyDescent="0.2">
      <c r="A15" s="417" t="s">
        <v>64</v>
      </c>
      <c r="B15" s="420">
        <f>AVERAGE(DCF!C31:L31)</f>
        <v>10.15102188787267</v>
      </c>
      <c r="C15" s="421">
        <f>AVERAGE(DCF!H31:L31)</f>
        <v>10.597100452659308</v>
      </c>
      <c r="D15" s="421">
        <f>AVERAGE(DCF!J31:L31)</f>
        <v>12.459675647792478</v>
      </c>
      <c r="E15" s="421">
        <f>DCF!L31</f>
        <v>14.640472714713333</v>
      </c>
      <c r="F15" s="422">
        <v>12</v>
      </c>
      <c r="G15" s="423">
        <v>17</v>
      </c>
      <c r="H15" s="417"/>
      <c r="I15" s="417"/>
      <c r="J15" s="417"/>
      <c r="K15" s="417" t="s">
        <v>103</v>
      </c>
      <c r="L15" s="417" t="s">
        <v>105</v>
      </c>
      <c r="M15" s="417"/>
      <c r="R15" s="44"/>
    </row>
    <row r="16" spans="1:18" x14ac:dyDescent="0.2">
      <c r="A16" s="417" t="s">
        <v>60</v>
      </c>
      <c r="B16" s="424">
        <f>AVERAGE(DCF!C29:L29)</f>
        <v>83.234342094466797</v>
      </c>
      <c r="C16" s="270">
        <f>AVERAGE(DCF!H29:L29)</f>
        <v>159.06293024482622</v>
      </c>
      <c r="D16" s="270">
        <f>AVERAGE(DCF!J29:L29)</f>
        <v>14.741611680104969</v>
      </c>
      <c r="E16" s="270">
        <f>DCF!L29</f>
        <v>20.5306984178237</v>
      </c>
      <c r="F16" s="425">
        <v>18</v>
      </c>
      <c r="G16" s="426">
        <v>19</v>
      </c>
      <c r="H16" s="417"/>
      <c r="I16" s="417"/>
      <c r="J16" s="417"/>
      <c r="K16" s="427">
        <f>F15*DCF!L11</f>
        <v>167.95359329680952</v>
      </c>
      <c r="L16" s="428">
        <f>G15*DCF!L11</f>
        <v>237.93425717048015</v>
      </c>
      <c r="M16" s="417"/>
      <c r="R16" s="44"/>
    </row>
    <row r="17" spans="1:18" x14ac:dyDescent="0.2">
      <c r="A17" s="417" t="s">
        <v>62</v>
      </c>
      <c r="B17" s="424">
        <f>AVERAGE(DCF!C30:L30)</f>
        <v>0.85183761421158588</v>
      </c>
      <c r="C17" s="270">
        <f>AVERAGE(DCF!H30:L30)</f>
        <v>0.90863699873795767</v>
      </c>
      <c r="D17" s="270">
        <f>AVERAGE(DCF!J30:L30)</f>
        <v>1.1351880281138718</v>
      </c>
      <c r="E17" s="270">
        <f>DCF!L30</f>
        <v>1.3782964753316569</v>
      </c>
      <c r="F17" s="425">
        <v>1.1000000000000001</v>
      </c>
      <c r="G17" s="426">
        <v>1.45</v>
      </c>
      <c r="H17" s="417"/>
      <c r="I17" s="417"/>
      <c r="J17" s="417"/>
      <c r="K17" s="429">
        <f>F16*DCF!L17</f>
        <v>179.65194972607154</v>
      </c>
      <c r="L17" s="430">
        <f>G16*DCF!L17</f>
        <v>189.6326135997422</v>
      </c>
      <c r="M17" s="417"/>
      <c r="R17" s="44"/>
    </row>
    <row r="18" spans="1:18" x14ac:dyDescent="0.2">
      <c r="A18" s="417" t="s">
        <v>1074</v>
      </c>
      <c r="B18" s="431">
        <f>AVERAGE(DCF!C28:L29)</f>
        <v>47.759181824287609</v>
      </c>
      <c r="C18" s="432">
        <f>AVERAGE(DCF!H28:L28)</f>
        <v>13.022665524695777</v>
      </c>
      <c r="D18" s="432">
        <f>AVERAGE(DCF!J28:L28)</f>
        <v>15.128210694864874</v>
      </c>
      <c r="E18" s="432">
        <f>DCF!L28</f>
        <v>17.637606934812762</v>
      </c>
      <c r="F18" s="433">
        <v>16.5</v>
      </c>
      <c r="G18" s="434">
        <v>25</v>
      </c>
      <c r="H18" s="417"/>
      <c r="I18" s="417"/>
      <c r="J18" s="417"/>
      <c r="K18" s="429">
        <f>F17*DCF!L6</f>
        <v>163.53593296809541</v>
      </c>
      <c r="L18" s="430">
        <f>G17*DCF!L6</f>
        <v>215.57009345794393</v>
      </c>
      <c r="M18" s="417"/>
      <c r="R18" s="44"/>
    </row>
    <row r="19" spans="1:18" x14ac:dyDescent="0.2">
      <c r="A19" s="417"/>
      <c r="B19" s="417"/>
      <c r="C19" s="417"/>
      <c r="D19" s="417"/>
      <c r="E19" s="417"/>
      <c r="F19" s="417"/>
      <c r="G19" s="417"/>
      <c r="H19" s="417"/>
      <c r="I19" s="417"/>
      <c r="J19" s="417"/>
      <c r="K19" s="435">
        <f>F18*DCF!L9</f>
        <v>191.69352239767966</v>
      </c>
      <c r="L19" s="436">
        <f>G18*DCF!L9</f>
        <v>290.44473090557523</v>
      </c>
      <c r="M19" s="417"/>
    </row>
    <row r="20" spans="1:18" x14ac:dyDescent="0.2">
      <c r="A20" s="417"/>
      <c r="B20" s="417"/>
      <c r="C20" s="417"/>
      <c r="D20" s="417"/>
      <c r="E20" s="417"/>
      <c r="F20" s="417"/>
      <c r="G20" s="417"/>
      <c r="H20" s="417"/>
      <c r="I20" s="417"/>
      <c r="J20" s="417"/>
      <c r="K20" s="417"/>
      <c r="L20" s="417"/>
      <c r="M20" s="417"/>
    </row>
    <row r="21" spans="1:18" x14ac:dyDescent="0.2">
      <c r="A21" s="417"/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</row>
    <row r="22" spans="1:18" x14ac:dyDescent="0.2">
      <c r="A22" s="417"/>
      <c r="B22" s="417"/>
      <c r="C22" s="417"/>
      <c r="D22" s="417"/>
      <c r="E22" s="417"/>
      <c r="F22" s="417"/>
      <c r="G22" s="417"/>
      <c r="H22" s="417"/>
      <c r="I22" s="417"/>
      <c r="J22" s="417"/>
      <c r="K22" s="419" t="s">
        <v>1076</v>
      </c>
      <c r="L22" s="417"/>
      <c r="M22" s="417"/>
    </row>
    <row r="23" spans="1:18" x14ac:dyDescent="0.2">
      <c r="A23" s="417"/>
      <c r="B23" s="417" t="s">
        <v>162</v>
      </c>
      <c r="C23" s="417" t="s">
        <v>151</v>
      </c>
      <c r="D23" s="417" t="s">
        <v>163</v>
      </c>
      <c r="E23" s="417" t="s">
        <v>153</v>
      </c>
      <c r="F23" s="417" t="s">
        <v>164</v>
      </c>
      <c r="G23" s="417" t="s">
        <v>165</v>
      </c>
      <c r="H23" s="417" t="s">
        <v>166</v>
      </c>
      <c r="I23" s="417"/>
      <c r="J23" s="417"/>
      <c r="K23" s="417" t="s">
        <v>103</v>
      </c>
      <c r="L23" s="417" t="s">
        <v>105</v>
      </c>
      <c r="M23" s="417"/>
    </row>
    <row r="24" spans="1:18" x14ac:dyDescent="0.2">
      <c r="A24" s="417" t="s">
        <v>167</v>
      </c>
      <c r="B24" s="420">
        <f>AVERAGE(DCF!C11:L11)</f>
        <v>10.384958878402918</v>
      </c>
      <c r="C24" s="421">
        <f>AVERAGE(DCF!H11:L11)</f>
        <v>11.992775933884605</v>
      </c>
      <c r="D24" s="421">
        <f>AVERAGE(DCF!J11:L11)</f>
        <v>13.083717857748629</v>
      </c>
      <c r="E24" s="437">
        <f>DCF!L11</f>
        <v>13.996132774734127</v>
      </c>
      <c r="F24" s="438">
        <v>2.5000000000000001E-2</v>
      </c>
      <c r="G24" s="423">
        <v>3.5000000000000003E-2</v>
      </c>
      <c r="H24" s="439">
        <f t="shared" ref="H24:H29" si="0">E24*(1+MEDIAN(F24:G24))</f>
        <v>14.41601675797615</v>
      </c>
      <c r="I24" s="417"/>
      <c r="J24" s="417"/>
      <c r="K24" s="427">
        <f>F15*DCF!O11</f>
        <v>184.14232232742307</v>
      </c>
      <c r="L24" s="428">
        <f>G15*DCF!O11</f>
        <v>260.86828996384935</v>
      </c>
      <c r="M24" s="417"/>
    </row>
    <row r="25" spans="1:18" x14ac:dyDescent="0.2">
      <c r="A25" s="417" t="s">
        <v>156</v>
      </c>
      <c r="B25" s="424">
        <f>AVERAGE(DCF!C14:L14)</f>
        <v>3.3354133351474742</v>
      </c>
      <c r="C25" s="270">
        <f>AVERAGE(DCF!H14:L14)</f>
        <v>4.7572914564232782</v>
      </c>
      <c r="D25" s="270">
        <f>AVERAGE(DCF!J14:L14)</f>
        <v>5.4631878344104718</v>
      </c>
      <c r="E25" s="440">
        <f>DCF!L14</f>
        <v>6.1231066709635833</v>
      </c>
      <c r="F25" s="441">
        <v>2.5000000000000001E-2</v>
      </c>
      <c r="G25" s="426">
        <v>0.04</v>
      </c>
      <c r="H25" s="279">
        <f t="shared" si="0"/>
        <v>6.3221076377698999</v>
      </c>
      <c r="I25" s="417"/>
      <c r="J25" s="417"/>
      <c r="K25" s="429">
        <f>F16*DCF!O17</f>
        <v>167.06967220902038</v>
      </c>
      <c r="L25" s="430">
        <f>G16*DCF!O17</f>
        <v>176.35132066507708</v>
      </c>
      <c r="M25" s="417"/>
    </row>
    <row r="26" spans="1:18" x14ac:dyDescent="0.2">
      <c r="A26" s="417" t="s">
        <v>157</v>
      </c>
      <c r="B26" s="424">
        <f>AVERAGE(DCF!C17:L17)</f>
        <v>10.628922832882285</v>
      </c>
      <c r="C26" s="270">
        <f>AVERAGE(DCF!H17:L17)</f>
        <v>7.8278338479932597</v>
      </c>
      <c r="D26" s="270">
        <f>AVERAGE(DCF!J17:L17)</f>
        <v>12.012877908292753</v>
      </c>
      <c r="E26" s="440">
        <f>DCF!L17</f>
        <v>9.9806638736706415</v>
      </c>
      <c r="F26" s="441">
        <v>2.5000000000000001E-2</v>
      </c>
      <c r="G26" s="426">
        <v>3.5000000000000003E-2</v>
      </c>
      <c r="H26" s="279">
        <f t="shared" si="0"/>
        <v>10.280083789880761</v>
      </c>
      <c r="I26" s="417"/>
      <c r="J26" s="417"/>
      <c r="K26" s="429">
        <f>F17*DCF!O6</f>
        <v>164.67709532534576</v>
      </c>
      <c r="L26" s="430">
        <f>G17*DCF!O6</f>
        <v>217.07435292886484</v>
      </c>
      <c r="M26" s="417"/>
    </row>
    <row r="27" spans="1:18" x14ac:dyDescent="0.2">
      <c r="A27" s="417" t="s">
        <v>158</v>
      </c>
      <c r="B27" s="424">
        <f>AVERAGE(DCF!C6:L6)</f>
        <v>125.79630943082216</v>
      </c>
      <c r="C27" s="270">
        <f>AVERAGE(DCF!H6:L6)</f>
        <v>143.62882733029264</v>
      </c>
      <c r="D27" s="270">
        <f>AVERAGE(DCF!J6:L6)</f>
        <v>144.65154589471703</v>
      </c>
      <c r="E27" s="440">
        <f>DCF!L6</f>
        <v>148.66902997099581</v>
      </c>
      <c r="F27" s="441">
        <v>0.04</v>
      </c>
      <c r="G27" s="426">
        <v>0.05</v>
      </c>
      <c r="H27" s="279">
        <f t="shared" si="0"/>
        <v>155.35913631969061</v>
      </c>
      <c r="I27" s="417"/>
      <c r="J27" s="417"/>
      <c r="K27" s="435">
        <f>F18*DCF!O9</f>
        <v>213.53955739364369</v>
      </c>
      <c r="L27" s="436">
        <f>G18*DCF!O9</f>
        <v>323.54478392976318</v>
      </c>
      <c r="M27" s="417"/>
    </row>
    <row r="28" spans="1:18" x14ac:dyDescent="0.2">
      <c r="A28" s="417" t="s">
        <v>159</v>
      </c>
      <c r="B28" s="424">
        <f>AVERAGE(DCF!C9:L9)</f>
        <v>8.5707107487973673</v>
      </c>
      <c r="C28" s="270">
        <f>AVERAGE(DCF!H9:L9)</f>
        <v>9.7398656168393138</v>
      </c>
      <c r="D28" s="270">
        <f>AVERAGE(DCF!J9:L9)</f>
        <v>10.771705268373907</v>
      </c>
      <c r="E28" s="440">
        <f>DCF!L9</f>
        <v>11.617789236223009</v>
      </c>
      <c r="F28" s="441">
        <v>0.03</v>
      </c>
      <c r="G28" s="426">
        <v>3.5000000000000003E-2</v>
      </c>
      <c r="H28" s="279">
        <f t="shared" si="0"/>
        <v>11.995367386400257</v>
      </c>
      <c r="I28" s="417"/>
      <c r="J28" s="417"/>
      <c r="K28" s="417"/>
      <c r="L28" s="417"/>
      <c r="M28" s="417"/>
    </row>
    <row r="29" spans="1:18" x14ac:dyDescent="0.2">
      <c r="A29" s="417" t="s">
        <v>160</v>
      </c>
      <c r="B29" s="424">
        <f>AVERAGE(DCF!C25:L25)</f>
        <v>7.9225014206804927</v>
      </c>
      <c r="C29" s="270">
        <f>AVERAGE(DCF!H25:L25)</f>
        <v>15.174014925441123</v>
      </c>
      <c r="D29" s="270">
        <f>AVERAGE(DCF!J25:L25)</f>
        <v>0.94437053008085481</v>
      </c>
      <c r="E29" s="440">
        <f>DCF!L25</f>
        <v>1.1640297061672586</v>
      </c>
      <c r="F29" s="441">
        <v>0.1</v>
      </c>
      <c r="G29" s="426">
        <v>0.12</v>
      </c>
      <c r="H29" s="279">
        <f t="shared" si="0"/>
        <v>1.2920729738456571</v>
      </c>
      <c r="I29" s="417"/>
      <c r="J29" s="417"/>
      <c r="K29" s="417"/>
      <c r="L29" s="417"/>
      <c r="M29" s="417"/>
    </row>
    <row r="30" spans="1:18" x14ac:dyDescent="0.2">
      <c r="A30" s="417" t="s">
        <v>161</v>
      </c>
      <c r="B30" s="424">
        <f>AVERAGE(DCF!C23:L23)</f>
        <v>0.62998815772221128</v>
      </c>
      <c r="C30" s="270">
        <f>AVERAGE(DCF!H23:L23)</f>
        <v>0.51546740226679688</v>
      </c>
      <c r="D30" s="270">
        <f>AVERAGE(DCF!J23:L23)</f>
        <v>0.49250432871393374</v>
      </c>
      <c r="E30" s="440">
        <f>DCF!L23</f>
        <v>0.47295423023578365</v>
      </c>
      <c r="F30" s="441">
        <v>0.55000000000000004</v>
      </c>
      <c r="G30" s="426"/>
      <c r="H30" s="279"/>
      <c r="I30" s="417"/>
      <c r="J30" s="417"/>
      <c r="K30" s="417"/>
      <c r="L30" s="417"/>
      <c r="M30" s="417"/>
    </row>
    <row r="31" spans="1:18" x14ac:dyDescent="0.2">
      <c r="A31" s="417" t="s">
        <v>88</v>
      </c>
      <c r="B31" s="431"/>
      <c r="C31" s="432"/>
      <c r="D31" s="432"/>
      <c r="E31" s="442"/>
      <c r="F31" s="443">
        <f>DCF!K45</f>
        <v>4.8500000000000001E-2</v>
      </c>
      <c r="G31" s="434"/>
      <c r="H31" s="416"/>
      <c r="I31" s="417"/>
      <c r="J31" s="417"/>
      <c r="K31" s="417"/>
      <c r="L31" s="417"/>
      <c r="M31" s="417"/>
    </row>
    <row r="32" spans="1:18" x14ac:dyDescent="0.2">
      <c r="A32" s="417"/>
      <c r="B32" s="417"/>
      <c r="C32" s="417"/>
      <c r="D32" s="417"/>
      <c r="E32" s="417"/>
      <c r="F32" s="417"/>
      <c r="G32" s="417"/>
      <c r="H32" s="417"/>
      <c r="I32" s="417"/>
      <c r="J32" s="417"/>
      <c r="K32" s="417"/>
      <c r="L32" s="417"/>
      <c r="M32" s="417"/>
    </row>
    <row r="33" spans="1:13" x14ac:dyDescent="0.2">
      <c r="A33" s="417"/>
      <c r="B33" s="417"/>
      <c r="C33" s="417"/>
      <c r="D33" s="417"/>
      <c r="E33" s="417"/>
      <c r="F33" s="417"/>
      <c r="G33" s="417"/>
      <c r="H33" s="417"/>
      <c r="I33" s="417"/>
      <c r="J33" s="417"/>
      <c r="K33" s="417"/>
      <c r="L33" s="417"/>
      <c r="M33" s="417"/>
    </row>
    <row r="34" spans="1:13" x14ac:dyDescent="0.2">
      <c r="A34" s="417"/>
      <c r="B34" s="417"/>
      <c r="C34" s="417"/>
      <c r="D34" s="417"/>
      <c r="E34" s="417"/>
      <c r="F34" s="417"/>
      <c r="G34" s="417"/>
      <c r="H34" s="417"/>
      <c r="I34" s="417"/>
      <c r="J34" s="417"/>
      <c r="K34" s="417"/>
      <c r="L34" s="417"/>
      <c r="M34" s="417"/>
    </row>
    <row r="35" spans="1:13" x14ac:dyDescent="0.2">
      <c r="A35" s="417"/>
      <c r="B35" s="417"/>
      <c r="C35" s="417"/>
      <c r="D35" s="417"/>
      <c r="E35" s="417"/>
      <c r="F35" s="417"/>
      <c r="G35" s="417"/>
      <c r="H35" s="417"/>
      <c r="I35" s="417"/>
      <c r="J35" s="417"/>
      <c r="K35" s="417"/>
      <c r="L35" s="417"/>
      <c r="M35" s="417"/>
    </row>
  </sheetData>
  <conditionalFormatting sqref="D4:L4 F5:L5 K6:L6">
    <cfRule type="cellIs" dxfId="2" priority="2" operator="lessThan">
      <formula>1</formula>
    </cfRule>
    <cfRule type="cellIs" dxfId="1" priority="3" operator="greaterThan">
      <formula>1</formula>
    </cfRule>
  </conditionalFormatting>
  <conditionalFormatting sqref="M4:M6">
    <cfRule type="cellIs" dxfId="0" priority="1" operator="greaterThan">
      <formula>1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19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14.6640625" bestFit="1" customWidth="1"/>
    <col min="13" max="14" width="9.33203125" bestFit="1" customWidth="1"/>
  </cols>
  <sheetData>
    <row r="2" spans="1:14" x14ac:dyDescent="0.2">
      <c r="A2" s="209"/>
      <c r="B2" s="236">
        <v>2005</v>
      </c>
      <c r="C2" s="236">
        <v>2006</v>
      </c>
      <c r="D2" s="236">
        <v>2007</v>
      </c>
      <c r="E2" s="236">
        <v>2008</v>
      </c>
      <c r="F2" s="236">
        <v>2009</v>
      </c>
      <c r="G2" s="236">
        <v>2010</v>
      </c>
      <c r="H2" s="236">
        <v>2011</v>
      </c>
      <c r="I2" s="236">
        <v>2012</v>
      </c>
      <c r="J2" s="236">
        <v>2013</v>
      </c>
      <c r="K2" s="236">
        <v>2014</v>
      </c>
      <c r="L2" s="237">
        <v>2015</v>
      </c>
    </row>
    <row r="3" spans="1:14" x14ac:dyDescent="0.2">
      <c r="A3" s="239" t="s">
        <v>138</v>
      </c>
      <c r="B3" s="86">
        <f>[1]Sheet1!B8*(1-[1]Sheet1!B22)</f>
        <v>4.7309416307063366</v>
      </c>
      <c r="C3" s="86">
        <f>[1]Sheet1!C8*(1-[1]Sheet1!C22)</f>
        <v>6.5015353889278193</v>
      </c>
      <c r="D3" s="86">
        <f>[1]Sheet1!D8*(1-[1]Sheet1!D22)</f>
        <v>7.5566076923076926</v>
      </c>
      <c r="E3" s="86">
        <f>[1]Sheet1!E8*(1-[1]Sheet1!E22)</f>
        <v>8.7831628721541151</v>
      </c>
      <c r="F3" s="86">
        <f>[1]Sheet1!F8*(1-[1]Sheet1!F22)</f>
        <v>8.1789267151767167</v>
      </c>
      <c r="G3" s="86">
        <f>[1]Sheet1!G8*(1-[1]Sheet1!G22)</f>
        <v>8.1101622734761118</v>
      </c>
      <c r="H3" s="86">
        <f>[1]Sheet1!H8*(1-[1]Sheet1!H22)</f>
        <v>8.4060017862459055</v>
      </c>
      <c r="I3" s="86">
        <f>[1]Sheet1!I8*(1-[1]Sheet1!I22)</f>
        <v>9.1791628050664205</v>
      </c>
      <c r="J3" s="86">
        <f>[1]Sheet1!J8*(1-[1]Sheet1!J22)</f>
        <v>10.385456528513558</v>
      </c>
      <c r="K3" s="86">
        <f>[1]Sheet1!K8*(1-[1]Sheet1!K22)</f>
        <v>12.528844696969697</v>
      </c>
      <c r="L3" s="36">
        <f>[1]Sheet1!L8*(1-[1]Sheet1!L22)</f>
        <v>13.325288430551078</v>
      </c>
      <c r="M3" s="25"/>
      <c r="N3" s="25"/>
    </row>
    <row r="4" spans="1:14" x14ac:dyDescent="0.2">
      <c r="A4" s="239" t="s">
        <v>1102</v>
      </c>
      <c r="B4" s="96">
        <f>B3/([1]Sheet1!B69/[1]Sheet1!B18)</f>
        <v>7.5080507497116505E-2</v>
      </c>
      <c r="C4" s="96">
        <f>C3/([1]Sheet1!C69/[1]Sheet1!C18)</f>
        <v>9.8590460840919547E-2</v>
      </c>
      <c r="D4" s="96">
        <f>D3/([1]Sheet1!D69/[1]Sheet1!D18)</f>
        <v>0.10867554449284382</v>
      </c>
      <c r="E4" s="96">
        <f>E3/([1]Sheet1!E69/[1]Sheet1!E18)</f>
        <v>0.1049861000628009</v>
      </c>
      <c r="F4" s="96">
        <f>F3/([1]Sheet1!F69/[1]Sheet1!F18)</f>
        <v>8.9637179231579878E-2</v>
      </c>
      <c r="G4" s="96">
        <f>G3/([1]Sheet1!G69/[1]Sheet1!G18)</f>
        <v>8.4120442571127496E-2</v>
      </c>
      <c r="H4" s="96">
        <f>H3/([1]Sheet1!H69/[1]Sheet1!H18)</f>
        <v>7.4484963596074691E-2</v>
      </c>
      <c r="I4" s="96">
        <f>I3/([1]Sheet1!I69/[1]Sheet1!I18)</f>
        <v>7.6863051969889032E-2</v>
      </c>
      <c r="J4" s="96">
        <f>J3/([1]Sheet1!J69/[1]Sheet1!J18)</f>
        <v>9.2093870896429758E-2</v>
      </c>
      <c r="K4" s="96">
        <f>K3/([1]Sheet1!K69/[1]Sheet1!K18)</f>
        <v>0.1071407979269017</v>
      </c>
      <c r="L4" s="95">
        <f>L3/([1]Sheet1!L69/[1]Sheet1!L18)</f>
        <v>8.416457010258914E-2</v>
      </c>
    </row>
    <row r="5" spans="1:14" x14ac:dyDescent="0.2">
      <c r="A5" s="239" t="s">
        <v>1164</v>
      </c>
      <c r="B5" s="94">
        <f>B4-[1]Sheet1!B35</f>
        <v>-2.419492502883494E-3</v>
      </c>
      <c r="C5" s="94">
        <f>C4-[1]Sheet1!C35</f>
        <v>2.1090460840919548E-2</v>
      </c>
      <c r="D5" s="94">
        <f>D4-[1]Sheet1!D35</f>
        <v>2.5475544492843824E-2</v>
      </c>
      <c r="E5" s="94">
        <f>E4-[1]Sheet1!E35</f>
        <v>1.1186100062800908E-2</v>
      </c>
      <c r="F5" s="94">
        <f>F4-[1]Sheet1!F35</f>
        <v>4.3371792315798768E-3</v>
      </c>
      <c r="G5" s="94">
        <f>G4-[1]Sheet1!G35</f>
        <v>1.2204425711274947E-3</v>
      </c>
      <c r="H5" s="94">
        <f>H4-[1]Sheet1!H35</f>
        <v>4.6849635960746899E-3</v>
      </c>
      <c r="I5" s="94">
        <f>I4-[1]Sheet1!I35</f>
        <v>6.3630519698890387E-3</v>
      </c>
      <c r="J5" s="94">
        <f>J4-[1]Sheet1!J35</f>
        <v>8.1938708964297557E-3</v>
      </c>
      <c r="K5" s="94">
        <f>K4-[1]Sheet1!K35</f>
        <v>2.2940797926901707E-2</v>
      </c>
      <c r="L5" s="93">
        <f>L4-[1]Sheet1!L35</f>
        <v>8.9645701025891367E-3</v>
      </c>
    </row>
    <row r="6" spans="1:14" x14ac:dyDescent="0.2">
      <c r="A6" s="239" t="s">
        <v>1158</v>
      </c>
      <c r="B6" s="85">
        <f>B5*([1]Sheet1!B69/[1]Sheet1!B18)</f>
        <v>-0.15245605269134602</v>
      </c>
      <c r="C6" s="85">
        <f>C5*([1]Sheet1!C69/[1]Sheet1!C18)</f>
        <v>1.390807755197383</v>
      </c>
      <c r="D6" s="85">
        <f>D5*([1]Sheet1!D69/[1]Sheet1!D18)</f>
        <v>1.7714076923076931</v>
      </c>
      <c r="E6" s="85">
        <f>E5*([1]Sheet1!E69/[1]Sheet1!E18)</f>
        <v>0.93583187390542799</v>
      </c>
      <c r="F6" s="85">
        <f>F5*([1]Sheet1!F69/[1]Sheet1!F18)</f>
        <v>0.39574506237006507</v>
      </c>
      <c r="G6" s="85">
        <f>G5*([1]Sheet1!G69/[1]Sheet1!G18)</f>
        <v>0.11766447007138858</v>
      </c>
      <c r="H6" s="85">
        <f>H5*([1]Sheet1!H69/[1]Sheet1!H18)</f>
        <v>0.52872164334623206</v>
      </c>
      <c r="I6" s="85">
        <f>I5*([1]Sheet1!I69/[1]Sheet1!I18)</f>
        <v>0.75989033055298294</v>
      </c>
      <c r="J6" s="85">
        <f>J5*([1]Sheet1!J69/[1]Sheet1!J18)</f>
        <v>0.92402555313181689</v>
      </c>
      <c r="K6" s="85">
        <f>K5*([1]Sheet1!K69/[1]Sheet1!K18)</f>
        <v>2.6826540404040422</v>
      </c>
      <c r="L6" s="87">
        <f>L5*([1]Sheet1!L69/[1]Sheet1!L18)</f>
        <v>1.4193084112149503</v>
      </c>
    </row>
    <row r="7" spans="1:14" x14ac:dyDescent="0.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4" x14ac:dyDescent="0.2">
      <c r="A8" s="249" t="s">
        <v>1163</v>
      </c>
      <c r="B8" s="250">
        <v>2015</v>
      </c>
      <c r="C8" s="250" t="s">
        <v>1</v>
      </c>
      <c r="D8" s="251" t="s">
        <v>2</v>
      </c>
      <c r="E8" s="48"/>
      <c r="F8" s="48"/>
      <c r="G8" s="48"/>
      <c r="H8" s="48"/>
      <c r="I8" s="48"/>
      <c r="J8" s="48"/>
      <c r="K8" s="48"/>
      <c r="L8" s="48"/>
    </row>
    <row r="9" spans="1:14" x14ac:dyDescent="0.2">
      <c r="A9" s="239" t="s">
        <v>37</v>
      </c>
      <c r="B9" s="90">
        <f>[1]Sheet1!L17</f>
        <v>9.9806638736706415</v>
      </c>
      <c r="C9" s="90"/>
      <c r="D9" s="36"/>
      <c r="E9" s="48"/>
      <c r="F9" s="48"/>
      <c r="G9" s="48"/>
      <c r="H9" s="48"/>
      <c r="I9" s="48"/>
      <c r="J9" s="48"/>
      <c r="K9" s="48"/>
      <c r="L9" s="48"/>
    </row>
    <row r="10" spans="1:14" x14ac:dyDescent="0.2">
      <c r="A10" s="239" t="s">
        <v>21</v>
      </c>
      <c r="B10" s="90">
        <f>[1]Sheet1!L9</f>
        <v>11.617789236223009</v>
      </c>
      <c r="C10" s="90">
        <f>[1]Sheet1!O9</f>
        <v>14.617882371898162</v>
      </c>
      <c r="D10" s="36">
        <f>[1]Sheet1!P9</f>
        <v>15.202597666774089</v>
      </c>
      <c r="E10" s="48"/>
      <c r="F10" s="48"/>
      <c r="G10" s="48"/>
      <c r="H10" s="48"/>
      <c r="I10" s="48"/>
      <c r="J10" s="48"/>
      <c r="K10" s="48"/>
      <c r="L10" s="48"/>
    </row>
    <row r="11" spans="1:14" x14ac:dyDescent="0.2">
      <c r="A11" s="239" t="s">
        <v>31</v>
      </c>
      <c r="B11" s="90">
        <f>[1]Sheet1!L14</f>
        <v>6.1231066709635833</v>
      </c>
      <c r="C11" s="90">
        <f>[1]Sheet1!O14</f>
        <v>4.2391858878504678</v>
      </c>
      <c r="D11" s="36">
        <f>[1]Sheet1!P14</f>
        <v>4.332740335030616</v>
      </c>
      <c r="E11" s="48"/>
      <c r="F11" s="48"/>
      <c r="G11" s="48"/>
      <c r="H11" s="48"/>
      <c r="I11" s="48"/>
      <c r="J11" s="48"/>
      <c r="K11" s="48"/>
      <c r="L11" s="48"/>
    </row>
    <row r="12" spans="1:14" x14ac:dyDescent="0.2">
      <c r="A12" s="239" t="s">
        <v>1162</v>
      </c>
      <c r="B12" s="92">
        <f>[1]Sheet1!E43</f>
        <v>4.0815641711688985E-2</v>
      </c>
      <c r="C12" s="48"/>
      <c r="D12" s="91"/>
      <c r="E12" s="48"/>
      <c r="F12" s="48"/>
      <c r="G12" s="48"/>
      <c r="H12" s="48"/>
      <c r="I12" s="48"/>
      <c r="J12" s="48"/>
      <c r="K12" s="48"/>
      <c r="L12" s="48"/>
    </row>
    <row r="13" spans="1:14" x14ac:dyDescent="0.2">
      <c r="A13" s="239" t="s">
        <v>1161</v>
      </c>
      <c r="B13" s="48"/>
      <c r="C13" s="90">
        <f>B9+(C10-C11)</f>
        <v>20.359360357718337</v>
      </c>
      <c r="D13" s="36">
        <f>C13+(D10-D11)</f>
        <v>31.229217689461812</v>
      </c>
      <c r="E13" s="48"/>
      <c r="F13" s="48"/>
      <c r="G13" s="48"/>
      <c r="H13" s="48"/>
      <c r="I13" s="48"/>
      <c r="J13" s="48"/>
      <c r="K13" s="48"/>
      <c r="L13" s="48"/>
    </row>
    <row r="14" spans="1:14" x14ac:dyDescent="0.2">
      <c r="A14" s="252"/>
      <c r="B14" s="48"/>
      <c r="C14" s="48"/>
      <c r="D14" s="91"/>
      <c r="E14" s="48"/>
      <c r="F14" s="48"/>
      <c r="G14" s="48"/>
      <c r="H14" s="48"/>
      <c r="I14" s="48"/>
      <c r="J14" s="48"/>
      <c r="K14" s="48"/>
      <c r="L14" s="48"/>
    </row>
    <row r="15" spans="1:14" x14ac:dyDescent="0.2">
      <c r="A15" s="239" t="s">
        <v>1160</v>
      </c>
      <c r="B15" s="48"/>
      <c r="C15" s="90">
        <f>B9*B12</f>
        <v>0.40736720071253879</v>
      </c>
      <c r="D15" s="36">
        <f>C13*B12</f>
        <v>0.83098035783979574</v>
      </c>
      <c r="E15" s="253" t="s">
        <v>1159</v>
      </c>
      <c r="F15" s="254">
        <f>(D16-C16)/C16</f>
        <v>1.1336825991737045E-2</v>
      </c>
      <c r="G15" s="48"/>
      <c r="H15" s="48"/>
      <c r="I15" s="48"/>
      <c r="J15" s="48"/>
      <c r="K15" s="48"/>
      <c r="L15" s="48"/>
    </row>
    <row r="16" spans="1:14" x14ac:dyDescent="0.2">
      <c r="A16" s="239" t="s">
        <v>1158</v>
      </c>
      <c r="B16" s="48"/>
      <c r="C16" s="90">
        <f>C10-C15</f>
        <v>14.210515171185623</v>
      </c>
      <c r="D16" s="35">
        <f>D10-D15</f>
        <v>14.371617308934294</v>
      </c>
      <c r="E16" s="465">
        <f>(((D16-C16)/C16)+1)*D16</f>
        <v>14.534545833585518</v>
      </c>
      <c r="F16" s="466"/>
      <c r="G16" s="48"/>
      <c r="H16" s="48"/>
      <c r="I16" s="48"/>
      <c r="J16" s="48"/>
      <c r="K16" s="48"/>
      <c r="L16" s="48"/>
    </row>
    <row r="17" spans="1:12" x14ac:dyDescent="0.2">
      <c r="A17" s="239" t="s">
        <v>1157</v>
      </c>
      <c r="B17" s="89"/>
      <c r="C17" s="88">
        <f>C16/((1+B12)^1)</f>
        <v>13.653249049769762</v>
      </c>
      <c r="D17" s="88">
        <f>D16/((1+B12)^2)</f>
        <v>13.266550775275286</v>
      </c>
      <c r="E17" s="467">
        <f>E16/(B12-F15)/((1+B12)^3)</f>
        <v>437.29045976768708</v>
      </c>
      <c r="F17" s="468"/>
      <c r="G17" s="48"/>
      <c r="H17" s="48"/>
      <c r="I17" s="48"/>
      <c r="J17" s="48"/>
      <c r="K17" s="48"/>
      <c r="L17" s="48"/>
    </row>
    <row r="18" spans="1:12" x14ac:dyDescent="0.2">
      <c r="A18" s="239" t="s">
        <v>1156</v>
      </c>
      <c r="B18" s="86">
        <f>SUM(C17:E17)</f>
        <v>464.21025959273214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1:12" x14ac:dyDescent="0.2">
      <c r="A19" s="239" t="s">
        <v>1155</v>
      </c>
      <c r="B19" s="85">
        <f>SUM(B9+B18)</f>
        <v>474.19092346640281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</row>
  </sheetData>
  <mergeCells count="2">
    <mergeCell ref="E16:F16"/>
    <mergeCell ref="E17:F17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29"/>
  <sheetViews>
    <sheetView zoomScale="70" zoomScaleNormal="70" zoomScalePageLayoutView="70" workbookViewId="0">
      <selection activeCell="B29" sqref="B29"/>
    </sheetView>
  </sheetViews>
  <sheetFormatPr baseColWidth="10" defaultColWidth="11" defaultRowHeight="16" x14ac:dyDescent="0.2"/>
  <cols>
    <col min="1" max="1" width="18.6640625" bestFit="1" customWidth="1"/>
  </cols>
  <sheetData>
    <row r="1" spans="1:19" x14ac:dyDescent="0.2">
      <c r="A1" s="215"/>
      <c r="B1" s="215">
        <v>2000</v>
      </c>
      <c r="C1" s="215">
        <v>2001</v>
      </c>
      <c r="D1" s="215">
        <v>2002</v>
      </c>
      <c r="E1" s="215">
        <v>2003</v>
      </c>
      <c r="F1" s="215">
        <v>2004</v>
      </c>
      <c r="G1" s="246">
        <v>2005</v>
      </c>
      <c r="H1" s="215">
        <v>2006</v>
      </c>
      <c r="I1" s="215">
        <v>2007</v>
      </c>
      <c r="J1" s="215">
        <v>2008</v>
      </c>
      <c r="K1" s="215">
        <v>2009</v>
      </c>
      <c r="L1" s="215">
        <v>2010</v>
      </c>
      <c r="M1" s="215">
        <v>2011</v>
      </c>
      <c r="N1" s="215">
        <v>2012</v>
      </c>
      <c r="O1" s="215">
        <v>2013</v>
      </c>
      <c r="P1" s="215">
        <v>2014</v>
      </c>
      <c r="Q1" s="215">
        <v>2015</v>
      </c>
      <c r="R1" s="215">
        <v>2016</v>
      </c>
      <c r="S1" s="231">
        <v>2017</v>
      </c>
    </row>
    <row r="2" spans="1:19" x14ac:dyDescent="0.2">
      <c r="A2" s="214" t="s">
        <v>1077</v>
      </c>
      <c r="B2" s="15">
        <v>58.68</v>
      </c>
      <c r="C2" s="199">
        <v>54.4</v>
      </c>
      <c r="D2" s="15">
        <v>58.41</v>
      </c>
      <c r="E2" s="199">
        <v>71.349999999999994</v>
      </c>
      <c r="F2" s="15">
        <v>81.11</v>
      </c>
      <c r="G2" s="199">
        <v>86.14</v>
      </c>
      <c r="H2" s="15">
        <v>94.11</v>
      </c>
      <c r="I2" s="199">
        <v>102.35</v>
      </c>
      <c r="J2" s="15">
        <v>108.81</v>
      </c>
      <c r="K2" s="199">
        <v>121.18</v>
      </c>
      <c r="L2" s="15">
        <v>132.38</v>
      </c>
      <c r="M2" s="199">
        <v>143.80000000000001</v>
      </c>
      <c r="N2" s="15">
        <v>146.97999999999999</v>
      </c>
      <c r="O2" s="199">
        <v>142.19</v>
      </c>
      <c r="P2" s="15">
        <v>145.22</v>
      </c>
      <c r="Q2" s="199">
        <v>152.25</v>
      </c>
      <c r="R2" s="274">
        <v>171.85</v>
      </c>
      <c r="S2" s="267">
        <v>174.5</v>
      </c>
    </row>
    <row r="3" spans="1:19" x14ac:dyDescent="0.2">
      <c r="A3" s="214" t="s">
        <v>1078</v>
      </c>
      <c r="B3" s="17">
        <v>3.24</v>
      </c>
      <c r="C3" s="12">
        <v>3.44</v>
      </c>
      <c r="D3" s="17">
        <v>3.54</v>
      </c>
      <c r="E3" s="12">
        <v>3.73</v>
      </c>
      <c r="F3" s="17">
        <v>4.3899999999999997</v>
      </c>
      <c r="G3" s="12">
        <v>5.6</v>
      </c>
      <c r="H3" s="17">
        <v>7.36</v>
      </c>
      <c r="I3" s="12">
        <v>9.1</v>
      </c>
      <c r="J3" s="17">
        <v>10.34</v>
      </c>
      <c r="K3" s="12">
        <v>10.41</v>
      </c>
      <c r="L3" s="17">
        <v>10.08</v>
      </c>
      <c r="M3" s="12">
        <v>11.36</v>
      </c>
      <c r="N3" s="17">
        <v>11.63</v>
      </c>
      <c r="O3" s="12">
        <v>12.35</v>
      </c>
      <c r="P3" s="17">
        <v>14.68</v>
      </c>
      <c r="Q3" s="12">
        <v>15.28</v>
      </c>
      <c r="R3" s="275">
        <v>16</v>
      </c>
      <c r="S3" s="268">
        <v>17.399999999999999</v>
      </c>
    </row>
    <row r="4" spans="1:19" x14ac:dyDescent="0.2">
      <c r="A4" s="214" t="s">
        <v>1079</v>
      </c>
      <c r="B4" s="17">
        <v>1.07</v>
      </c>
      <c r="C4" s="12">
        <v>1.6</v>
      </c>
      <c r="D4" s="17">
        <v>2.34</v>
      </c>
      <c r="E4" s="12">
        <v>2.34</v>
      </c>
      <c r="F4" s="17">
        <v>2.83</v>
      </c>
      <c r="G4" s="12">
        <v>3.85</v>
      </c>
      <c r="H4" s="17">
        <v>5.36</v>
      </c>
      <c r="I4" s="12">
        <v>6.86</v>
      </c>
      <c r="J4" s="17">
        <v>7.86</v>
      </c>
      <c r="K4" s="12">
        <v>7.78</v>
      </c>
      <c r="L4" s="17">
        <v>7.23</v>
      </c>
      <c r="M4" s="12">
        <v>7.82</v>
      </c>
      <c r="N4" s="17">
        <v>8.36</v>
      </c>
      <c r="O4" s="12">
        <v>9.57</v>
      </c>
      <c r="P4" s="17">
        <v>11.21</v>
      </c>
      <c r="Q4" s="12">
        <v>11.46</v>
      </c>
      <c r="R4" s="275">
        <v>11.85</v>
      </c>
      <c r="S4" s="268">
        <v>13.05</v>
      </c>
    </row>
    <row r="5" spans="1:19" x14ac:dyDescent="0.2">
      <c r="A5" s="214" t="s">
        <v>1080</v>
      </c>
      <c r="B5" s="17">
        <v>0.44</v>
      </c>
      <c r="C5" s="12">
        <v>0.44</v>
      </c>
      <c r="D5" s="17">
        <v>0.44</v>
      </c>
      <c r="E5" s="12">
        <v>0.57999999999999996</v>
      </c>
      <c r="F5" s="17">
        <v>0.91</v>
      </c>
      <c r="G5" s="12">
        <v>1.05</v>
      </c>
      <c r="H5" s="17">
        <v>1.25</v>
      </c>
      <c r="I5" s="12">
        <v>1.47</v>
      </c>
      <c r="J5" s="17">
        <v>1.83</v>
      </c>
      <c r="K5" s="12">
        <v>2.34</v>
      </c>
      <c r="L5" s="17">
        <v>2.64</v>
      </c>
      <c r="M5" s="12">
        <v>3.25</v>
      </c>
      <c r="N5" s="17">
        <v>4.1500000000000004</v>
      </c>
      <c r="O5" s="12">
        <v>4.78</v>
      </c>
      <c r="P5" s="17">
        <v>5.49</v>
      </c>
      <c r="Q5" s="12">
        <v>6.15</v>
      </c>
      <c r="R5" s="275">
        <v>6.75</v>
      </c>
      <c r="S5" s="268">
        <v>7.35</v>
      </c>
    </row>
    <row r="6" spans="1:19" x14ac:dyDescent="0.2">
      <c r="A6" s="214" t="s">
        <v>1081</v>
      </c>
      <c r="B6" s="17">
        <v>1.1599999999999999</v>
      </c>
      <c r="C6" s="12">
        <v>1.4</v>
      </c>
      <c r="D6" s="17">
        <v>1.46</v>
      </c>
      <c r="E6" s="12">
        <v>1.54</v>
      </c>
      <c r="F6" s="17">
        <v>1.76</v>
      </c>
      <c r="G6" s="12">
        <v>2</v>
      </c>
      <c r="H6" s="17">
        <v>2.12</v>
      </c>
      <c r="I6" s="12">
        <v>2.2999999999999998</v>
      </c>
      <c r="J6" s="17">
        <v>2.36</v>
      </c>
      <c r="K6" s="12">
        <v>2.2799999999999998</v>
      </c>
      <c r="L6" s="17">
        <v>2.37</v>
      </c>
      <c r="M6" s="12">
        <v>2.52</v>
      </c>
      <c r="N6" s="17">
        <v>2.93</v>
      </c>
      <c r="O6" s="12">
        <v>2.62</v>
      </c>
      <c r="P6" s="17">
        <v>2.69</v>
      </c>
      <c r="Q6" s="12">
        <v>3.1</v>
      </c>
      <c r="R6" s="275">
        <v>2.9</v>
      </c>
      <c r="S6" s="268">
        <v>2.95</v>
      </c>
    </row>
    <row r="7" spans="1:19" x14ac:dyDescent="0.2">
      <c r="A7" s="214" t="s">
        <v>1082</v>
      </c>
      <c r="B7" s="17">
        <v>16.59</v>
      </c>
      <c r="C7" s="12">
        <v>14.61</v>
      </c>
      <c r="D7" s="17">
        <v>12.89</v>
      </c>
      <c r="E7" s="12">
        <v>15.15</v>
      </c>
      <c r="F7" s="17">
        <v>16.03</v>
      </c>
      <c r="G7" s="12">
        <v>18.21</v>
      </c>
      <c r="H7" s="17">
        <v>16.350000000000001</v>
      </c>
      <c r="I7" s="12">
        <v>23.97</v>
      </c>
      <c r="J7" s="17">
        <v>7.3</v>
      </c>
      <c r="K7" s="12">
        <v>11.07</v>
      </c>
      <c r="L7" s="17">
        <v>10.72</v>
      </c>
      <c r="M7" s="12">
        <v>3.1</v>
      </c>
      <c r="N7" s="17">
        <v>0.12</v>
      </c>
      <c r="O7" s="12">
        <v>15.42</v>
      </c>
      <c r="P7" s="17">
        <v>10.83</v>
      </c>
      <c r="Q7" s="12">
        <v>10.220000000000001</v>
      </c>
      <c r="R7" s="275">
        <v>10.95</v>
      </c>
      <c r="S7" s="268">
        <v>13.45</v>
      </c>
    </row>
    <row r="8" spans="1:19" x14ac:dyDescent="0.2">
      <c r="A8" s="214" t="s">
        <v>1083</v>
      </c>
      <c r="B8" s="17">
        <v>431.66</v>
      </c>
      <c r="C8" s="12">
        <v>441</v>
      </c>
      <c r="D8" s="17">
        <v>455</v>
      </c>
      <c r="E8" s="12">
        <v>446</v>
      </c>
      <c r="F8" s="17">
        <v>438</v>
      </c>
      <c r="G8" s="12">
        <v>432</v>
      </c>
      <c r="H8" s="17">
        <v>421</v>
      </c>
      <c r="I8" s="12">
        <v>409</v>
      </c>
      <c r="J8" s="17">
        <v>392</v>
      </c>
      <c r="K8" s="12">
        <v>372</v>
      </c>
      <c r="L8" s="17">
        <v>346</v>
      </c>
      <c r="M8" s="12">
        <v>323</v>
      </c>
      <c r="N8" s="17">
        <v>321</v>
      </c>
      <c r="O8" s="12">
        <v>319</v>
      </c>
      <c r="P8" s="17">
        <v>314</v>
      </c>
      <c r="Q8" s="12">
        <v>303</v>
      </c>
      <c r="R8" s="275">
        <v>295</v>
      </c>
      <c r="S8" s="268">
        <v>290</v>
      </c>
    </row>
    <row r="9" spans="1:19" x14ac:dyDescent="0.2">
      <c r="A9" s="214" t="s">
        <v>1084</v>
      </c>
      <c r="B9" s="17">
        <v>24.3</v>
      </c>
      <c r="C9" s="12">
        <v>24.6</v>
      </c>
      <c r="D9" s="17">
        <v>25.1</v>
      </c>
      <c r="E9" s="12">
        <v>20.7</v>
      </c>
      <c r="F9" s="17">
        <v>18.399999999999999</v>
      </c>
      <c r="G9" s="12">
        <v>15.9</v>
      </c>
      <c r="H9" s="17">
        <v>14.7</v>
      </c>
      <c r="I9" s="12">
        <v>14.7</v>
      </c>
      <c r="J9" s="17">
        <v>12.7</v>
      </c>
      <c r="K9" s="12">
        <v>9.8000000000000007</v>
      </c>
      <c r="L9" s="17">
        <v>10.5</v>
      </c>
      <c r="M9" s="12">
        <v>9.9</v>
      </c>
      <c r="N9" s="17">
        <v>10.6</v>
      </c>
      <c r="O9" s="12">
        <v>11.8</v>
      </c>
      <c r="P9" s="17">
        <v>15.1</v>
      </c>
      <c r="Q9" s="12">
        <v>17.7</v>
      </c>
      <c r="R9" s="275"/>
      <c r="S9" s="268"/>
    </row>
    <row r="10" spans="1:19" x14ac:dyDescent="0.2">
      <c r="A10" s="214" t="s">
        <v>1085</v>
      </c>
      <c r="B10" s="17">
        <v>1.58</v>
      </c>
      <c r="C10" s="12">
        <v>1.26</v>
      </c>
      <c r="D10" s="17">
        <v>1.37</v>
      </c>
      <c r="E10" s="12">
        <v>1.18</v>
      </c>
      <c r="F10" s="17">
        <v>0.97</v>
      </c>
      <c r="G10" s="12">
        <v>0.85</v>
      </c>
      <c r="H10" s="17">
        <v>0.79</v>
      </c>
      <c r="I10" s="12">
        <v>0.78</v>
      </c>
      <c r="J10" s="17">
        <v>0.76</v>
      </c>
      <c r="K10" s="12">
        <v>0.65</v>
      </c>
      <c r="L10" s="17">
        <v>0.67</v>
      </c>
      <c r="M10" s="12">
        <v>0.62</v>
      </c>
      <c r="N10" s="17">
        <v>0.67</v>
      </c>
      <c r="O10" s="12">
        <v>0.66</v>
      </c>
      <c r="P10" s="17">
        <v>0.79</v>
      </c>
      <c r="Q10" s="12">
        <v>0.9</v>
      </c>
      <c r="R10" s="275"/>
      <c r="S10" s="268"/>
    </row>
    <row r="11" spans="1:19" x14ac:dyDescent="0.2">
      <c r="A11" s="214" t="s">
        <v>1086</v>
      </c>
      <c r="B11" s="47">
        <v>1.7000000000000001E-2</v>
      </c>
      <c r="C11" s="45">
        <v>1.0999999999999999E-2</v>
      </c>
      <c r="D11" s="47">
        <v>7.0000000000000001E-3</v>
      </c>
      <c r="E11" s="45">
        <v>1.2E-2</v>
      </c>
      <c r="F11" s="47">
        <v>1.7999999999999999E-2</v>
      </c>
      <c r="G11" s="45">
        <v>1.7000000000000001E-2</v>
      </c>
      <c r="H11" s="47">
        <v>1.6E-2</v>
      </c>
      <c r="I11" s="45">
        <v>1.4999999999999999E-2</v>
      </c>
      <c r="J11" s="47">
        <v>1.7999999999999999E-2</v>
      </c>
      <c r="K11" s="45">
        <v>3.1E-2</v>
      </c>
      <c r="L11" s="47">
        <v>3.5000000000000003E-2</v>
      </c>
      <c r="M11" s="45">
        <v>4.2000000000000003E-2</v>
      </c>
      <c r="N11" s="47">
        <v>4.7E-2</v>
      </c>
      <c r="O11" s="45">
        <v>4.2000000000000003E-2</v>
      </c>
      <c r="P11" s="47">
        <v>3.2000000000000001E-2</v>
      </c>
      <c r="Q11" s="45">
        <v>0.03</v>
      </c>
      <c r="R11" s="275"/>
      <c r="S11" s="268"/>
    </row>
    <row r="12" spans="1:19" x14ac:dyDescent="0.2">
      <c r="A12" s="214" t="s">
        <v>1087</v>
      </c>
      <c r="B12" s="17"/>
      <c r="C12" s="12"/>
      <c r="D12" s="17"/>
      <c r="E12" s="12"/>
      <c r="F12" s="17"/>
      <c r="G12" s="12"/>
      <c r="H12" s="17">
        <v>39620</v>
      </c>
      <c r="I12" s="12">
        <v>41862</v>
      </c>
      <c r="J12" s="17">
        <v>42731</v>
      </c>
      <c r="K12" s="12">
        <v>45189</v>
      </c>
      <c r="L12" s="17">
        <v>45803</v>
      </c>
      <c r="M12" s="12">
        <v>46499</v>
      </c>
      <c r="N12" s="17">
        <v>47182</v>
      </c>
      <c r="O12" s="12">
        <v>45358</v>
      </c>
      <c r="P12" s="17">
        <v>45600</v>
      </c>
      <c r="Q12" s="12">
        <v>46132</v>
      </c>
      <c r="R12" s="275">
        <v>50700</v>
      </c>
      <c r="S12" s="268">
        <v>50600</v>
      </c>
    </row>
    <row r="13" spans="1:19" x14ac:dyDescent="0.2">
      <c r="A13" s="214" t="s">
        <v>1088</v>
      </c>
      <c r="B13" s="17"/>
      <c r="C13" s="12"/>
      <c r="D13" s="17"/>
      <c r="E13" s="12"/>
      <c r="F13" s="17"/>
      <c r="G13" s="12"/>
      <c r="H13" s="47">
        <v>0.106</v>
      </c>
      <c r="I13" s="45">
        <v>0.121</v>
      </c>
      <c r="J13" s="47">
        <v>0.129</v>
      </c>
      <c r="K13" s="45">
        <v>0.11199999999999999</v>
      </c>
      <c r="L13" s="47">
        <v>0.12300000000000001</v>
      </c>
      <c r="M13" s="45">
        <v>0.10099999999999999</v>
      </c>
      <c r="N13" s="47">
        <v>0.11</v>
      </c>
      <c r="O13" s="45">
        <v>0.14099999999999999</v>
      </c>
      <c r="P13" s="47">
        <v>0.13699999999999998</v>
      </c>
      <c r="Q13" s="45">
        <v>0.13500000000000001</v>
      </c>
      <c r="R13" s="276">
        <v>0.13</v>
      </c>
      <c r="S13" s="269">
        <v>0.13500000000000001</v>
      </c>
    </row>
    <row r="14" spans="1:19" x14ac:dyDescent="0.2">
      <c r="A14" s="214" t="s">
        <v>1089</v>
      </c>
      <c r="B14" s="17"/>
      <c r="C14" s="12"/>
      <c r="D14" s="17"/>
      <c r="E14" s="12"/>
      <c r="F14" s="17"/>
      <c r="G14" s="12"/>
      <c r="H14" s="17">
        <v>764</v>
      </c>
      <c r="I14" s="12">
        <v>819</v>
      </c>
      <c r="J14" s="17">
        <v>845</v>
      </c>
      <c r="K14" s="12">
        <v>859</v>
      </c>
      <c r="L14" s="17">
        <v>841</v>
      </c>
      <c r="M14" s="12">
        <v>1008</v>
      </c>
      <c r="N14" s="17">
        <v>988</v>
      </c>
      <c r="O14" s="12">
        <v>990</v>
      </c>
      <c r="P14" s="17">
        <v>994</v>
      </c>
      <c r="Q14" s="12">
        <v>1026</v>
      </c>
      <c r="R14" s="275">
        <v>1100</v>
      </c>
      <c r="S14" s="268">
        <v>1125</v>
      </c>
    </row>
    <row r="15" spans="1:19" x14ac:dyDescent="0.2">
      <c r="A15" s="214" t="s">
        <v>1090</v>
      </c>
      <c r="B15" s="17"/>
      <c r="C15" s="12"/>
      <c r="D15" s="17"/>
      <c r="E15" s="12"/>
      <c r="F15" s="17"/>
      <c r="G15" s="12"/>
      <c r="H15" s="279">
        <v>2336</v>
      </c>
      <c r="I15" s="12">
        <v>2903</v>
      </c>
      <c r="J15" s="281">
        <v>3217</v>
      </c>
      <c r="K15" s="270">
        <v>3024</v>
      </c>
      <c r="L15" s="279">
        <v>2645</v>
      </c>
      <c r="M15" s="270">
        <v>2667</v>
      </c>
      <c r="N15" s="279">
        <v>2745</v>
      </c>
      <c r="O15" s="12"/>
      <c r="P15" s="17"/>
      <c r="Q15" s="12"/>
      <c r="R15" s="275">
        <v>3615</v>
      </c>
      <c r="S15" s="268">
        <v>3915</v>
      </c>
    </row>
    <row r="16" spans="1:19" x14ac:dyDescent="0.2">
      <c r="A16" s="214" t="s">
        <v>1091</v>
      </c>
      <c r="B16" s="17"/>
      <c r="C16" s="12"/>
      <c r="D16" s="17"/>
      <c r="E16" s="12">
        <v>31.27</v>
      </c>
      <c r="F16" s="17">
        <v>23.92</v>
      </c>
      <c r="G16" s="45">
        <v>0.3024</v>
      </c>
      <c r="H16" s="47">
        <v>0.311</v>
      </c>
      <c r="I16" s="45">
        <v>0.315</v>
      </c>
      <c r="J16" s="47">
        <v>0.316</v>
      </c>
      <c r="K16" s="45">
        <v>0.29399999999999998</v>
      </c>
      <c r="L16" s="47">
        <v>0.309</v>
      </c>
      <c r="M16" s="45">
        <v>0.26500000000000001</v>
      </c>
      <c r="N16" s="47">
        <v>0.32600000000000001</v>
      </c>
      <c r="O16" s="45">
        <v>0.28999999999999998</v>
      </c>
      <c r="P16" s="47">
        <v>0.313</v>
      </c>
      <c r="Q16" s="45">
        <v>0.28199999999999997</v>
      </c>
      <c r="R16" s="276">
        <v>0.3</v>
      </c>
      <c r="S16" s="271">
        <v>0.3</v>
      </c>
    </row>
    <row r="17" spans="1:19" x14ac:dyDescent="0.2">
      <c r="A17" s="214" t="s">
        <v>1092</v>
      </c>
      <c r="B17" s="17"/>
      <c r="C17" s="12"/>
      <c r="D17" s="17"/>
      <c r="E17" s="12"/>
      <c r="F17" s="17"/>
      <c r="G17" s="12"/>
      <c r="H17" s="47">
        <v>5.8999999999999997E-2</v>
      </c>
      <c r="I17" s="45">
        <v>6.9000000000000006E-2</v>
      </c>
      <c r="J17" s="47">
        <v>7.4999999999999997E-2</v>
      </c>
      <c r="K17" s="45">
        <v>6.7000000000000004E-2</v>
      </c>
      <c r="L17" s="47">
        <v>5.7999999999999996E-2</v>
      </c>
      <c r="M17" s="45">
        <v>5.7000000000000002E-2</v>
      </c>
      <c r="N17" s="47">
        <v>5.7999999999999996E-2</v>
      </c>
      <c r="O17" s="45">
        <v>6.5000000000000002E-2</v>
      </c>
      <c r="P17" s="47">
        <v>7.9000000000000001E-2</v>
      </c>
      <c r="Q17" s="45">
        <v>7.8E-2</v>
      </c>
      <c r="R17" s="277">
        <v>7.0999999999999994E-2</v>
      </c>
      <c r="S17" s="269">
        <v>7.6999999999999999E-2</v>
      </c>
    </row>
    <row r="18" spans="1:19" x14ac:dyDescent="0.2">
      <c r="A18" s="214" t="s">
        <v>1093</v>
      </c>
      <c r="B18" s="17"/>
      <c r="C18" s="12"/>
      <c r="D18" s="17"/>
      <c r="E18" s="12"/>
      <c r="F18" s="17"/>
      <c r="G18" s="12"/>
      <c r="H18" s="279">
        <v>611</v>
      </c>
      <c r="I18" s="12">
        <v>1069</v>
      </c>
      <c r="J18" s="279">
        <v>141</v>
      </c>
      <c r="K18" s="270">
        <v>1774</v>
      </c>
      <c r="L18" s="279">
        <v>1694</v>
      </c>
      <c r="M18" s="270">
        <v>1964</v>
      </c>
      <c r="N18" s="279">
        <v>1700</v>
      </c>
      <c r="O18" s="270">
        <v>2209</v>
      </c>
      <c r="P18" s="279">
        <v>1217</v>
      </c>
      <c r="Q18" s="270">
        <v>2141</v>
      </c>
      <c r="R18" s="275">
        <v>2250</v>
      </c>
      <c r="S18" s="268">
        <v>2500</v>
      </c>
    </row>
    <row r="19" spans="1:19" x14ac:dyDescent="0.2">
      <c r="A19" s="214" t="s">
        <v>35</v>
      </c>
      <c r="B19" s="17"/>
      <c r="C19" s="12"/>
      <c r="D19" s="17"/>
      <c r="E19" s="12"/>
      <c r="F19" s="17"/>
      <c r="G19" s="12"/>
      <c r="H19" s="279">
        <v>4405</v>
      </c>
      <c r="I19" s="12">
        <v>4303</v>
      </c>
      <c r="J19" s="279">
        <v>3563</v>
      </c>
      <c r="K19" s="270">
        <v>5052</v>
      </c>
      <c r="L19" s="279">
        <v>5019</v>
      </c>
      <c r="M19" s="270">
        <v>6460</v>
      </c>
      <c r="N19" s="279">
        <v>6158</v>
      </c>
      <c r="O19" s="270">
        <v>6152</v>
      </c>
      <c r="P19" s="279">
        <v>6169</v>
      </c>
      <c r="Q19" s="270">
        <v>14305</v>
      </c>
      <c r="R19" s="275">
        <v>1400</v>
      </c>
      <c r="S19" s="268">
        <v>13500</v>
      </c>
    </row>
    <row r="20" spans="1:19" x14ac:dyDescent="0.2">
      <c r="A20" s="214" t="s">
        <v>1094</v>
      </c>
      <c r="B20" s="17"/>
      <c r="C20" s="12"/>
      <c r="D20" s="17"/>
      <c r="E20" s="12"/>
      <c r="F20" s="17"/>
      <c r="G20" s="12"/>
      <c r="H20" s="279">
        <v>6884</v>
      </c>
      <c r="I20" s="12">
        <v>9805</v>
      </c>
      <c r="J20" s="17">
        <v>2865</v>
      </c>
      <c r="K20" s="270">
        <v>4129</v>
      </c>
      <c r="L20" s="279">
        <v>3708</v>
      </c>
      <c r="M20" s="270">
        <v>1001</v>
      </c>
      <c r="N20" s="279">
        <v>39</v>
      </c>
      <c r="O20" s="270">
        <v>4918</v>
      </c>
      <c r="P20" s="279">
        <v>3400</v>
      </c>
      <c r="Q20" s="270">
        <v>3097</v>
      </c>
      <c r="R20" s="275">
        <v>3225</v>
      </c>
      <c r="S20" s="268">
        <v>3900</v>
      </c>
    </row>
    <row r="21" spans="1:19" x14ac:dyDescent="0.2">
      <c r="A21" s="214" t="s">
        <v>1095</v>
      </c>
      <c r="B21" s="17"/>
      <c r="C21" s="12"/>
      <c r="D21" s="17"/>
      <c r="E21" s="12"/>
      <c r="F21" s="17"/>
      <c r="G21" s="12"/>
      <c r="H21" s="47">
        <v>0.223</v>
      </c>
      <c r="I21" s="45">
        <v>0.218</v>
      </c>
      <c r="J21" s="47">
        <v>0.52500000000000002</v>
      </c>
      <c r="K21" s="45">
        <v>0.34499999999999997</v>
      </c>
      <c r="L21" s="47">
        <v>0.32299999999999995</v>
      </c>
      <c r="M21" s="45">
        <v>0.38100000000000001</v>
      </c>
      <c r="N21" s="47">
        <v>0.47399999999999998</v>
      </c>
      <c r="O21" s="45">
        <v>0.28199999999999997</v>
      </c>
      <c r="P21" s="47">
        <v>0.39500000000000002</v>
      </c>
      <c r="Q21" s="45">
        <v>0.22</v>
      </c>
      <c r="R21" s="276">
        <v>0.22</v>
      </c>
      <c r="S21" s="269">
        <v>0.23499999999999999</v>
      </c>
    </row>
    <row r="22" spans="1:19" x14ac:dyDescent="0.2">
      <c r="A22" s="214" t="s">
        <v>1096</v>
      </c>
      <c r="B22" s="17"/>
      <c r="C22" s="12"/>
      <c r="D22" s="17"/>
      <c r="E22" s="12"/>
      <c r="F22" s="17"/>
      <c r="G22" s="12"/>
      <c r="H22" s="47">
        <v>0.33900000000000002</v>
      </c>
      <c r="I22" s="45">
        <v>0.29599999999999999</v>
      </c>
      <c r="J22" s="17" t="s">
        <v>1097</v>
      </c>
      <c r="K22" s="45">
        <v>0.73199999999999998</v>
      </c>
      <c r="L22" s="47">
        <v>0.71299999999999997</v>
      </c>
      <c r="M22" s="12" t="s">
        <v>1097</v>
      </c>
      <c r="N22" s="17" t="s">
        <v>1097</v>
      </c>
      <c r="O22" s="54">
        <v>0.6</v>
      </c>
      <c r="P22" s="17" t="s">
        <v>1097</v>
      </c>
      <c r="Q22" s="12" t="s">
        <v>1097</v>
      </c>
      <c r="R22" s="275"/>
      <c r="S22" s="268"/>
    </row>
    <row r="23" spans="1:19" x14ac:dyDescent="0.2">
      <c r="A23" s="214" t="s">
        <v>1098</v>
      </c>
      <c r="B23" s="17"/>
      <c r="C23" s="12"/>
      <c r="D23" s="17"/>
      <c r="E23" s="12"/>
      <c r="F23" s="17"/>
      <c r="G23" s="12"/>
      <c r="H23" s="47">
        <v>0.26100000000000001</v>
      </c>
      <c r="I23" s="45">
        <v>0.23300000000000001</v>
      </c>
      <c r="J23" s="47">
        <v>0.86599999999999999</v>
      </c>
      <c r="K23" s="45">
        <v>0.51200000000000001</v>
      </c>
      <c r="L23" s="47">
        <v>0.45200000000000001</v>
      </c>
      <c r="M23" s="12" t="s">
        <v>1097</v>
      </c>
      <c r="N23" s="17" t="s">
        <v>1097</v>
      </c>
      <c r="O23" s="45">
        <v>0.28699999999999998</v>
      </c>
      <c r="P23" s="47">
        <v>0.54500000000000004</v>
      </c>
      <c r="Q23" s="45">
        <v>0.54</v>
      </c>
      <c r="R23" s="277">
        <v>0.505</v>
      </c>
      <c r="S23" s="269">
        <v>0.45500000000000002</v>
      </c>
    </row>
    <row r="24" spans="1:19" x14ac:dyDescent="0.2">
      <c r="A24" s="214" t="s">
        <v>1099</v>
      </c>
      <c r="B24" s="26"/>
      <c r="C24" s="8"/>
      <c r="D24" s="26"/>
      <c r="E24" s="8"/>
      <c r="F24" s="26"/>
      <c r="G24" s="8"/>
      <c r="H24" s="280">
        <v>0.23</v>
      </c>
      <c r="I24" s="272">
        <v>0.21</v>
      </c>
      <c r="J24" s="280">
        <v>0.23</v>
      </c>
      <c r="K24" s="272">
        <v>0.3</v>
      </c>
      <c r="L24" s="280">
        <v>0.37</v>
      </c>
      <c r="M24" s="272">
        <v>0.41</v>
      </c>
      <c r="N24" s="280">
        <v>0.49</v>
      </c>
      <c r="O24" s="272">
        <v>0.52</v>
      </c>
      <c r="P24" s="280">
        <v>0.49</v>
      </c>
      <c r="Q24" s="272">
        <v>0.54</v>
      </c>
      <c r="R24" s="278">
        <v>0.56999999999999995</v>
      </c>
      <c r="S24" s="273">
        <v>0.55000000000000004</v>
      </c>
    </row>
    <row r="25" spans="1:19" x14ac:dyDescent="0.2">
      <c r="A25" s="8"/>
      <c r="B25" s="282"/>
      <c r="C25" s="199"/>
    </row>
    <row r="26" spans="1:19" x14ac:dyDescent="0.2">
      <c r="A26" s="239" t="s">
        <v>1100</v>
      </c>
      <c r="B26" s="15">
        <v>110.97</v>
      </c>
    </row>
    <row r="27" spans="1:19" x14ac:dyDescent="0.2">
      <c r="A27" s="239" t="s">
        <v>1101</v>
      </c>
      <c r="B27" s="17">
        <v>8.3699999999999992</v>
      </c>
    </row>
    <row r="28" spans="1:19" x14ac:dyDescent="0.2">
      <c r="A28" s="239" t="s">
        <v>50</v>
      </c>
      <c r="B28" s="17">
        <v>28.12</v>
      </c>
    </row>
    <row r="29" spans="1:19" x14ac:dyDescent="0.2">
      <c r="A29" s="240" t="s">
        <v>1102</v>
      </c>
      <c r="B29" s="26">
        <v>50.46</v>
      </c>
    </row>
  </sheetData>
  <phoneticPr fontId="18" type="noConversion"/>
  <pageMargins left="0.75" right="0.75" top="1" bottom="1" header="0.5" footer="0.5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4"/>
  <sheetViews>
    <sheetView topLeftCell="A18" zoomScale="85" zoomScaleNormal="85" zoomScalePageLayoutView="85" workbookViewId="0">
      <selection activeCell="B14" sqref="B14"/>
    </sheetView>
  </sheetViews>
  <sheetFormatPr baseColWidth="10" defaultColWidth="11" defaultRowHeight="16" x14ac:dyDescent="0.2"/>
  <cols>
    <col min="1" max="1" width="37.83203125" customWidth="1"/>
  </cols>
  <sheetData>
    <row r="1" spans="1:11" ht="30" customHeight="1" x14ac:dyDescent="0.25">
      <c r="A1" s="255" t="s">
        <v>399</v>
      </c>
      <c r="B1" s="258"/>
      <c r="C1" s="258"/>
      <c r="D1" s="258"/>
      <c r="E1" s="258"/>
      <c r="F1" s="258"/>
      <c r="G1" s="258"/>
      <c r="H1" s="258"/>
      <c r="I1" s="258"/>
      <c r="J1" s="258"/>
      <c r="K1" s="259"/>
    </row>
    <row r="2" spans="1:11" x14ac:dyDescent="0.2">
      <c r="A2" s="214" t="s">
        <v>168</v>
      </c>
      <c r="B2" s="97" t="s">
        <v>169</v>
      </c>
      <c r="C2" s="15" t="s">
        <v>170</v>
      </c>
      <c r="D2" s="15" t="s">
        <v>171</v>
      </c>
      <c r="E2" s="15" t="s">
        <v>172</v>
      </c>
      <c r="F2" s="15" t="s">
        <v>173</v>
      </c>
      <c r="G2" s="15" t="s">
        <v>174</v>
      </c>
      <c r="H2" s="15" t="s">
        <v>175</v>
      </c>
      <c r="I2" s="15" t="s">
        <v>176</v>
      </c>
      <c r="J2" s="15" t="s">
        <v>177</v>
      </c>
      <c r="K2" s="97" t="s">
        <v>178</v>
      </c>
    </row>
    <row r="3" spans="1:11" x14ac:dyDescent="0.2">
      <c r="A3" s="214" t="s">
        <v>179</v>
      </c>
      <c r="B3" s="97" t="s">
        <v>180</v>
      </c>
      <c r="C3" s="17" t="s">
        <v>181</v>
      </c>
      <c r="D3" s="17" t="s">
        <v>182</v>
      </c>
      <c r="E3" s="17" t="s">
        <v>183</v>
      </c>
      <c r="F3" s="17" t="s">
        <v>184</v>
      </c>
      <c r="G3" s="17" t="s">
        <v>185</v>
      </c>
      <c r="H3" s="17" t="s">
        <v>186</v>
      </c>
      <c r="I3" s="17" t="s">
        <v>187</v>
      </c>
      <c r="J3" s="17" t="s">
        <v>188</v>
      </c>
      <c r="K3" s="97" t="s">
        <v>189</v>
      </c>
    </row>
    <row r="4" spans="1:11" x14ac:dyDescent="0.2">
      <c r="A4" s="214" t="s">
        <v>15</v>
      </c>
      <c r="B4" s="97" t="s">
        <v>180</v>
      </c>
      <c r="C4" s="17" t="s">
        <v>181</v>
      </c>
      <c r="D4" s="17" t="s">
        <v>182</v>
      </c>
      <c r="E4" s="17" t="s">
        <v>183</v>
      </c>
      <c r="F4" s="17" t="s">
        <v>184</v>
      </c>
      <c r="G4" s="17" t="s">
        <v>185</v>
      </c>
      <c r="H4" s="17" t="s">
        <v>186</v>
      </c>
      <c r="I4" s="17" t="s">
        <v>187</v>
      </c>
      <c r="J4" s="17" t="s">
        <v>188</v>
      </c>
      <c r="K4" s="97" t="s">
        <v>189</v>
      </c>
    </row>
    <row r="5" spans="1:11" x14ac:dyDescent="0.2">
      <c r="A5" s="214" t="s">
        <v>190</v>
      </c>
      <c r="B5" s="97" t="s">
        <v>191</v>
      </c>
      <c r="C5" s="17" t="s">
        <v>192</v>
      </c>
      <c r="D5" s="17" t="s">
        <v>193</v>
      </c>
      <c r="E5" s="17" t="s">
        <v>194</v>
      </c>
      <c r="F5" s="17" t="s">
        <v>195</v>
      </c>
      <c r="G5" s="17" t="s">
        <v>196</v>
      </c>
      <c r="H5" s="17" t="s">
        <v>197</v>
      </c>
      <c r="I5" s="17" t="s">
        <v>198</v>
      </c>
      <c r="J5" s="17" t="s">
        <v>199</v>
      </c>
      <c r="K5" s="97" t="s">
        <v>200</v>
      </c>
    </row>
    <row r="6" spans="1:11" x14ac:dyDescent="0.2">
      <c r="A6" s="214" t="s">
        <v>201</v>
      </c>
      <c r="B6" s="97" t="s">
        <v>202</v>
      </c>
      <c r="C6" s="17" t="s">
        <v>203</v>
      </c>
      <c r="D6" s="17" t="s">
        <v>204</v>
      </c>
      <c r="E6" s="17" t="s">
        <v>205</v>
      </c>
      <c r="F6" s="17" t="s">
        <v>206</v>
      </c>
      <c r="G6" s="17" t="s">
        <v>207</v>
      </c>
      <c r="H6" s="17" t="s">
        <v>208</v>
      </c>
      <c r="I6" s="17" t="s">
        <v>209</v>
      </c>
      <c r="J6" s="17" t="s">
        <v>210</v>
      </c>
      <c r="K6" s="97" t="s">
        <v>211</v>
      </c>
    </row>
    <row r="7" spans="1:11" x14ac:dyDescent="0.2">
      <c r="A7" s="214" t="s">
        <v>212</v>
      </c>
      <c r="B7" s="97" t="s">
        <v>213</v>
      </c>
      <c r="C7" s="17" t="s">
        <v>214</v>
      </c>
      <c r="D7" s="17" t="s">
        <v>215</v>
      </c>
      <c r="E7" s="17"/>
      <c r="F7" s="17" t="s">
        <v>216</v>
      </c>
      <c r="G7" s="17"/>
      <c r="H7" s="17" t="s">
        <v>217</v>
      </c>
      <c r="I7" s="17" t="s">
        <v>218</v>
      </c>
      <c r="J7" s="17" t="s">
        <v>219</v>
      </c>
      <c r="K7" s="97" t="s">
        <v>220</v>
      </c>
    </row>
    <row r="8" spans="1:11" x14ac:dyDescent="0.2">
      <c r="A8" s="214" t="s">
        <v>221</v>
      </c>
      <c r="B8" s="97" t="s">
        <v>222</v>
      </c>
      <c r="C8" s="17" t="s">
        <v>223</v>
      </c>
      <c r="D8" s="17" t="s">
        <v>224</v>
      </c>
      <c r="E8" s="17" t="s">
        <v>225</v>
      </c>
      <c r="F8" s="17" t="s">
        <v>226</v>
      </c>
      <c r="G8" s="17">
        <v>0</v>
      </c>
      <c r="H8" s="17" t="s">
        <v>227</v>
      </c>
      <c r="I8" s="17" t="s">
        <v>228</v>
      </c>
      <c r="J8" s="17" t="s">
        <v>229</v>
      </c>
      <c r="K8" s="97" t="s">
        <v>230</v>
      </c>
    </row>
    <row r="9" spans="1:11" x14ac:dyDescent="0.2">
      <c r="A9" s="214" t="s">
        <v>231</v>
      </c>
      <c r="B9" s="97" t="s">
        <v>232</v>
      </c>
      <c r="C9" s="17" t="s">
        <v>233</v>
      </c>
      <c r="D9" s="17" t="s">
        <v>234</v>
      </c>
      <c r="E9" s="17" t="s">
        <v>235</v>
      </c>
      <c r="F9" s="17" t="s">
        <v>236</v>
      </c>
      <c r="G9" s="17" t="s">
        <v>207</v>
      </c>
      <c r="H9" s="17" t="s">
        <v>237</v>
      </c>
      <c r="I9" s="17" t="s">
        <v>238</v>
      </c>
      <c r="J9" s="17" t="s">
        <v>239</v>
      </c>
      <c r="K9" s="97" t="s">
        <v>240</v>
      </c>
    </row>
    <row r="10" spans="1:11" x14ac:dyDescent="0.2">
      <c r="A10" s="214" t="s">
        <v>241</v>
      </c>
      <c r="B10" s="97" t="s">
        <v>242</v>
      </c>
      <c r="C10" s="17" t="s">
        <v>243</v>
      </c>
      <c r="D10" s="17" t="s">
        <v>244</v>
      </c>
      <c r="E10" s="17" t="s">
        <v>245</v>
      </c>
      <c r="F10" s="17" t="s">
        <v>246</v>
      </c>
      <c r="G10" s="17" t="s">
        <v>247</v>
      </c>
      <c r="H10" s="17" t="s">
        <v>248</v>
      </c>
      <c r="I10" s="17" t="s">
        <v>249</v>
      </c>
      <c r="J10" s="17" t="s">
        <v>250</v>
      </c>
      <c r="K10" s="97" t="s">
        <v>251</v>
      </c>
    </row>
    <row r="11" spans="1:11" x14ac:dyDescent="0.2">
      <c r="A11" s="214" t="s">
        <v>252</v>
      </c>
      <c r="B11" s="97" t="s">
        <v>253</v>
      </c>
      <c r="C11" s="17" t="s">
        <v>254</v>
      </c>
      <c r="D11" s="17" t="s">
        <v>255</v>
      </c>
      <c r="E11" s="17" t="s">
        <v>256</v>
      </c>
      <c r="F11" s="17" t="s">
        <v>257</v>
      </c>
      <c r="G11" s="17" t="s">
        <v>258</v>
      </c>
      <c r="H11" s="17" t="s">
        <v>259</v>
      </c>
      <c r="I11" s="17" t="s">
        <v>260</v>
      </c>
      <c r="J11" s="17" t="s">
        <v>261</v>
      </c>
      <c r="K11" s="97" t="s">
        <v>262</v>
      </c>
    </row>
    <row r="12" spans="1:11" x14ac:dyDescent="0.2">
      <c r="A12" s="214" t="s">
        <v>263</v>
      </c>
      <c r="B12" s="97" t="s">
        <v>264</v>
      </c>
      <c r="C12" s="17" t="s">
        <v>265</v>
      </c>
      <c r="D12" s="17">
        <v>0</v>
      </c>
      <c r="E12" s="17" t="s">
        <v>266</v>
      </c>
      <c r="F12" s="17" t="s">
        <v>267</v>
      </c>
      <c r="G12" s="17" t="s">
        <v>268</v>
      </c>
      <c r="H12" s="17" t="s">
        <v>269</v>
      </c>
      <c r="I12" s="17" t="s">
        <v>270</v>
      </c>
      <c r="J12" s="17" t="s">
        <v>271</v>
      </c>
      <c r="K12" s="97" t="s">
        <v>272</v>
      </c>
    </row>
    <row r="13" spans="1:11" x14ac:dyDescent="0.2">
      <c r="A13" s="214" t="s">
        <v>273</v>
      </c>
      <c r="B13" s="97" t="s">
        <v>264</v>
      </c>
      <c r="C13" s="17" t="s">
        <v>265</v>
      </c>
      <c r="D13" s="17">
        <v>0</v>
      </c>
      <c r="E13" s="17" t="s">
        <v>266</v>
      </c>
      <c r="F13" s="17" t="s">
        <v>267</v>
      </c>
      <c r="G13" s="17" t="s">
        <v>268</v>
      </c>
      <c r="H13" s="17" t="s">
        <v>269</v>
      </c>
      <c r="I13" s="17" t="s">
        <v>270</v>
      </c>
      <c r="J13" s="17" t="s">
        <v>271</v>
      </c>
      <c r="K13" s="97" t="s">
        <v>272</v>
      </c>
    </row>
    <row r="14" spans="1:11" x14ac:dyDescent="0.2">
      <c r="A14" s="214" t="s">
        <v>274</v>
      </c>
      <c r="B14" s="97" t="s">
        <v>253</v>
      </c>
      <c r="C14" s="17" t="s">
        <v>254</v>
      </c>
      <c r="D14" s="17" t="s">
        <v>255</v>
      </c>
      <c r="E14" s="17" t="s">
        <v>256</v>
      </c>
      <c r="F14" s="17" t="s">
        <v>257</v>
      </c>
      <c r="G14" s="17" t="s">
        <v>258</v>
      </c>
      <c r="H14" s="17" t="s">
        <v>259</v>
      </c>
      <c r="I14" s="17" t="s">
        <v>260</v>
      </c>
      <c r="J14" s="17" t="s">
        <v>261</v>
      </c>
      <c r="K14" s="97" t="s">
        <v>262</v>
      </c>
    </row>
    <row r="15" spans="1:11" x14ac:dyDescent="0.2">
      <c r="A15" s="214" t="s">
        <v>275</v>
      </c>
      <c r="B15" s="97" t="s">
        <v>276</v>
      </c>
      <c r="C15" s="17" t="s">
        <v>277</v>
      </c>
      <c r="D15" s="17" t="s">
        <v>278</v>
      </c>
      <c r="E15" s="17" t="s">
        <v>279</v>
      </c>
      <c r="F15" s="17" t="s">
        <v>280</v>
      </c>
      <c r="G15" s="17" t="s">
        <v>281</v>
      </c>
      <c r="H15" s="17" t="s">
        <v>282</v>
      </c>
      <c r="I15" s="17" t="s">
        <v>283</v>
      </c>
      <c r="J15" s="17" t="s">
        <v>284</v>
      </c>
      <c r="K15" s="97" t="s">
        <v>285</v>
      </c>
    </row>
    <row r="16" spans="1:11" x14ac:dyDescent="0.2">
      <c r="A16" s="214" t="s">
        <v>286</v>
      </c>
      <c r="B16" s="97" t="s">
        <v>287</v>
      </c>
      <c r="C16" s="17" t="s">
        <v>288</v>
      </c>
      <c r="D16" s="17" t="s">
        <v>289</v>
      </c>
      <c r="E16" s="17" t="s">
        <v>290</v>
      </c>
      <c r="F16" s="17" t="s">
        <v>291</v>
      </c>
      <c r="G16" s="17" t="s">
        <v>292</v>
      </c>
      <c r="H16" s="17" t="s">
        <v>293</v>
      </c>
      <c r="I16" s="17" t="s">
        <v>294</v>
      </c>
      <c r="J16" s="17" t="s">
        <v>295</v>
      </c>
      <c r="K16" s="97" t="s">
        <v>296</v>
      </c>
    </row>
    <row r="17" spans="1:11" x14ac:dyDescent="0.2">
      <c r="A17" s="214" t="s">
        <v>297</v>
      </c>
      <c r="B17" s="97" t="s">
        <v>298</v>
      </c>
      <c r="C17" s="17" t="s">
        <v>299</v>
      </c>
      <c r="D17" s="17" t="s">
        <v>300</v>
      </c>
      <c r="E17" s="17" t="s">
        <v>301</v>
      </c>
      <c r="F17" s="17" t="s">
        <v>302</v>
      </c>
      <c r="G17" s="17" t="s">
        <v>303</v>
      </c>
      <c r="H17" s="17" t="s">
        <v>304</v>
      </c>
      <c r="I17" s="17" t="s">
        <v>305</v>
      </c>
      <c r="J17" s="17" t="s">
        <v>306</v>
      </c>
      <c r="K17" s="97" t="s">
        <v>307</v>
      </c>
    </row>
    <row r="18" spans="1:11" x14ac:dyDescent="0.2">
      <c r="A18" s="214" t="s">
        <v>308</v>
      </c>
      <c r="B18" s="97"/>
      <c r="C18" s="17"/>
      <c r="D18" s="17" t="s">
        <v>309</v>
      </c>
      <c r="E18" s="17">
        <v>0</v>
      </c>
      <c r="F18" s="17" t="s">
        <v>310</v>
      </c>
      <c r="G18" s="17" t="s">
        <v>311</v>
      </c>
      <c r="H18" s="17" t="s">
        <v>265</v>
      </c>
      <c r="I18" s="17" t="s">
        <v>312</v>
      </c>
      <c r="J18" s="17"/>
      <c r="K18" s="97"/>
    </row>
    <row r="19" spans="1:11" x14ac:dyDescent="0.2">
      <c r="A19" s="214" t="s">
        <v>313</v>
      </c>
      <c r="B19" s="97"/>
      <c r="C19" s="17"/>
      <c r="D19" s="17"/>
      <c r="E19" s="17"/>
      <c r="F19" s="17"/>
      <c r="G19" s="17"/>
      <c r="H19" s="17"/>
      <c r="I19" s="17"/>
      <c r="J19" s="17"/>
      <c r="K19" s="97"/>
    </row>
    <row r="20" spans="1:11" x14ac:dyDescent="0.2">
      <c r="A20" s="214" t="s">
        <v>314</v>
      </c>
      <c r="B20" s="97"/>
      <c r="C20" s="17"/>
      <c r="D20" s="17"/>
      <c r="E20" s="17"/>
      <c r="F20" s="17"/>
      <c r="G20" s="17"/>
      <c r="H20" s="17"/>
      <c r="I20" s="17"/>
      <c r="J20" s="17"/>
      <c r="K20" s="97"/>
    </row>
    <row r="21" spans="1:11" x14ac:dyDescent="0.2">
      <c r="A21" s="214" t="s">
        <v>315</v>
      </c>
      <c r="B21" s="97"/>
      <c r="C21" s="17"/>
      <c r="D21" s="17"/>
      <c r="E21" s="17"/>
      <c r="F21" s="17"/>
      <c r="G21" s="17"/>
      <c r="H21" s="17"/>
      <c r="I21" s="17"/>
      <c r="J21" s="17"/>
      <c r="K21" s="97"/>
    </row>
    <row r="22" spans="1:11" x14ac:dyDescent="0.2">
      <c r="A22" s="214" t="s">
        <v>126</v>
      </c>
      <c r="B22" s="97" t="s">
        <v>298</v>
      </c>
      <c r="C22" s="17" t="s">
        <v>299</v>
      </c>
      <c r="D22" s="17" t="s">
        <v>316</v>
      </c>
      <c r="E22" s="17" t="s">
        <v>301</v>
      </c>
      <c r="F22" s="17" t="s">
        <v>317</v>
      </c>
      <c r="G22" s="17" t="s">
        <v>318</v>
      </c>
      <c r="H22" s="17" t="s">
        <v>319</v>
      </c>
      <c r="I22" s="17" t="s">
        <v>320</v>
      </c>
      <c r="J22" s="17" t="s">
        <v>306</v>
      </c>
      <c r="K22" s="97" t="s">
        <v>307</v>
      </c>
    </row>
    <row r="23" spans="1:11" x14ac:dyDescent="0.2">
      <c r="A23" s="214" t="s">
        <v>321</v>
      </c>
      <c r="B23" s="97" t="s">
        <v>322</v>
      </c>
      <c r="C23" s="17" t="s">
        <v>323</v>
      </c>
      <c r="D23" s="17" t="s">
        <v>324</v>
      </c>
      <c r="E23" s="17" t="s">
        <v>301</v>
      </c>
      <c r="F23" s="17" t="s">
        <v>325</v>
      </c>
      <c r="G23" s="17" t="s">
        <v>303</v>
      </c>
      <c r="H23" s="17" t="s">
        <v>326</v>
      </c>
      <c r="I23" s="17" t="s">
        <v>327</v>
      </c>
      <c r="J23" s="17" t="s">
        <v>328</v>
      </c>
      <c r="K23" s="97" t="s">
        <v>329</v>
      </c>
    </row>
    <row r="24" spans="1:11" x14ac:dyDescent="0.2">
      <c r="A24" s="214" t="s">
        <v>330</v>
      </c>
      <c r="B24" s="97" t="s">
        <v>331</v>
      </c>
      <c r="C24" s="17" t="s">
        <v>332</v>
      </c>
      <c r="D24" s="17" t="s">
        <v>333</v>
      </c>
      <c r="E24" s="17" t="s">
        <v>334</v>
      </c>
      <c r="F24" s="17" t="s">
        <v>335</v>
      </c>
      <c r="G24" s="17" t="s">
        <v>336</v>
      </c>
      <c r="H24" s="17" t="s">
        <v>337</v>
      </c>
      <c r="I24" s="17" t="s">
        <v>338</v>
      </c>
      <c r="J24" s="17" t="s">
        <v>339</v>
      </c>
      <c r="K24" s="97" t="s">
        <v>340</v>
      </c>
    </row>
    <row r="25" spans="1:11" x14ac:dyDescent="0.2">
      <c r="A25" s="214" t="s">
        <v>341</v>
      </c>
      <c r="B25" s="97" t="s">
        <v>342</v>
      </c>
      <c r="C25" s="17" t="s">
        <v>343</v>
      </c>
      <c r="D25" s="17" t="s">
        <v>344</v>
      </c>
      <c r="E25" s="17" t="s">
        <v>345</v>
      </c>
      <c r="F25" s="17" t="s">
        <v>346</v>
      </c>
      <c r="G25" s="17" t="s">
        <v>347</v>
      </c>
      <c r="H25" s="17" t="s">
        <v>348</v>
      </c>
      <c r="I25" s="17" t="s">
        <v>349</v>
      </c>
      <c r="J25" s="17" t="s">
        <v>350</v>
      </c>
      <c r="K25" s="97" t="s">
        <v>351</v>
      </c>
    </row>
    <row r="26" spans="1:11" x14ac:dyDescent="0.2">
      <c r="A26" s="214" t="s">
        <v>19</v>
      </c>
      <c r="B26" s="97" t="s">
        <v>352</v>
      </c>
      <c r="C26" s="17" t="s">
        <v>353</v>
      </c>
      <c r="D26" s="17" t="s">
        <v>234</v>
      </c>
      <c r="E26" s="17" t="s">
        <v>354</v>
      </c>
      <c r="F26" s="17" t="s">
        <v>355</v>
      </c>
      <c r="G26" s="17" t="s">
        <v>356</v>
      </c>
      <c r="H26" s="17" t="s">
        <v>357</v>
      </c>
      <c r="I26" s="17" t="s">
        <v>358</v>
      </c>
      <c r="J26" s="17" t="s">
        <v>359</v>
      </c>
      <c r="K26" s="97" t="s">
        <v>360</v>
      </c>
    </row>
    <row r="27" spans="1:11" x14ac:dyDescent="0.2">
      <c r="A27" s="214" t="s">
        <v>361</v>
      </c>
      <c r="B27" s="97" t="s">
        <v>169</v>
      </c>
      <c r="C27" s="17" t="s">
        <v>170</v>
      </c>
      <c r="D27" s="17" t="s">
        <v>171</v>
      </c>
      <c r="E27" s="17" t="s">
        <v>172</v>
      </c>
      <c r="F27" s="17" t="s">
        <v>173</v>
      </c>
      <c r="G27" s="17" t="s">
        <v>174</v>
      </c>
      <c r="H27" s="17" t="s">
        <v>175</v>
      </c>
      <c r="I27" s="17" t="s">
        <v>176</v>
      </c>
      <c r="J27" s="17" t="s">
        <v>177</v>
      </c>
      <c r="K27" s="97" t="s">
        <v>178</v>
      </c>
    </row>
    <row r="28" spans="1:11" x14ac:dyDescent="0.2">
      <c r="A28" s="214" t="s">
        <v>362</v>
      </c>
      <c r="B28" s="97">
        <v>11.62</v>
      </c>
      <c r="C28" s="17">
        <v>11.41</v>
      </c>
      <c r="D28" s="17">
        <v>9.19</v>
      </c>
      <c r="E28" s="17">
        <v>8.48</v>
      </c>
      <c r="F28" s="17">
        <v>7.94</v>
      </c>
      <c r="G28" s="17">
        <v>7.18</v>
      </c>
      <c r="H28" s="17">
        <v>7.71</v>
      </c>
      <c r="I28" s="17">
        <v>7.92</v>
      </c>
      <c r="J28" s="17">
        <v>7.2910000000000004</v>
      </c>
      <c r="K28" s="97">
        <v>5.907</v>
      </c>
    </row>
    <row r="29" spans="1:11" x14ac:dyDescent="0.2">
      <c r="A29" s="214" t="s">
        <v>363</v>
      </c>
      <c r="B29" s="97"/>
      <c r="C29" s="17"/>
      <c r="D29" s="17">
        <v>0.1</v>
      </c>
      <c r="E29" s="17">
        <v>0</v>
      </c>
      <c r="F29" s="17">
        <v>-0.04</v>
      </c>
      <c r="G29" s="17">
        <v>0.72</v>
      </c>
      <c r="H29" s="17">
        <v>0.02</v>
      </c>
      <c r="I29" s="17">
        <v>0.13</v>
      </c>
      <c r="J29" s="17"/>
      <c r="K29" s="97"/>
    </row>
    <row r="30" spans="1:11" x14ac:dyDescent="0.2">
      <c r="A30" s="214" t="s">
        <v>364</v>
      </c>
      <c r="B30" s="97"/>
      <c r="C30" s="17"/>
      <c r="D30" s="17"/>
      <c r="E30" s="17"/>
      <c r="F30" s="17"/>
      <c r="G30" s="17"/>
      <c r="H30" s="17"/>
      <c r="I30" s="17"/>
      <c r="J30" s="17"/>
      <c r="K30" s="97"/>
    </row>
    <row r="31" spans="1:11" x14ac:dyDescent="0.2">
      <c r="A31" s="214" t="s">
        <v>365</v>
      </c>
      <c r="B31" s="97"/>
      <c r="C31" s="17"/>
      <c r="D31" s="17"/>
      <c r="E31" s="17"/>
      <c r="F31" s="17"/>
      <c r="G31" s="17"/>
      <c r="H31" s="17"/>
      <c r="I31" s="17"/>
      <c r="J31" s="17"/>
      <c r="K31" s="97"/>
    </row>
    <row r="32" spans="1:11" x14ac:dyDescent="0.2">
      <c r="A32" s="214" t="s">
        <v>366</v>
      </c>
      <c r="B32" s="97">
        <v>11.07</v>
      </c>
      <c r="C32" s="17">
        <v>10.68</v>
      </c>
      <c r="D32" s="17">
        <v>8.4860000000000007</v>
      </c>
      <c r="E32" s="17">
        <v>8.48</v>
      </c>
      <c r="F32" s="17">
        <v>7.3360000000000003</v>
      </c>
      <c r="G32" s="17">
        <v>7.18</v>
      </c>
      <c r="H32" s="17">
        <v>7.306</v>
      </c>
      <c r="I32" s="17">
        <v>7.1070000000000002</v>
      </c>
      <c r="J32" s="17">
        <v>6.8019999999999996</v>
      </c>
      <c r="K32" s="97">
        <v>5.3550000000000004</v>
      </c>
    </row>
    <row r="33" spans="1:11" x14ac:dyDescent="0.2">
      <c r="A33" s="214" t="s">
        <v>367</v>
      </c>
      <c r="B33" s="97">
        <v>11.62</v>
      </c>
      <c r="C33" s="17">
        <v>11.41</v>
      </c>
      <c r="D33" s="17">
        <v>9.2899999999999991</v>
      </c>
      <c r="E33" s="17">
        <v>8.48</v>
      </c>
      <c r="F33" s="17">
        <v>7.9</v>
      </c>
      <c r="G33" s="17">
        <v>7.9</v>
      </c>
      <c r="H33" s="17">
        <v>7.73</v>
      </c>
      <c r="I33" s="17">
        <v>8.0500000000000007</v>
      </c>
      <c r="J33" s="17">
        <v>7.29</v>
      </c>
      <c r="K33" s="97">
        <v>5.91</v>
      </c>
    </row>
    <row r="34" spans="1:11" x14ac:dyDescent="0.2">
      <c r="A34" s="214" t="s">
        <v>368</v>
      </c>
      <c r="B34" s="97" t="s">
        <v>169</v>
      </c>
      <c r="C34" s="17" t="s">
        <v>170</v>
      </c>
      <c r="D34" s="17" t="s">
        <v>171</v>
      </c>
      <c r="E34" s="17" t="s">
        <v>172</v>
      </c>
      <c r="F34" s="17" t="s">
        <v>173</v>
      </c>
      <c r="G34" s="17" t="s">
        <v>174</v>
      </c>
      <c r="H34" s="17" t="s">
        <v>175</v>
      </c>
      <c r="I34" s="17" t="s">
        <v>176</v>
      </c>
      <c r="J34" s="17" t="s">
        <v>177</v>
      </c>
      <c r="K34" s="97" t="s">
        <v>178</v>
      </c>
    </row>
    <row r="35" spans="1:11" x14ac:dyDescent="0.2">
      <c r="A35" s="214" t="s">
        <v>369</v>
      </c>
      <c r="B35" s="97">
        <v>11.46</v>
      </c>
      <c r="C35" s="17">
        <v>11.21</v>
      </c>
      <c r="D35" s="17">
        <v>9.0399999999999991</v>
      </c>
      <c r="E35" s="17">
        <v>8.36</v>
      </c>
      <c r="F35" s="17">
        <v>7.85</v>
      </c>
      <c r="G35" s="17">
        <v>7.1</v>
      </c>
      <c r="H35" s="17">
        <v>7.63</v>
      </c>
      <c r="I35" s="17">
        <v>7.74</v>
      </c>
      <c r="J35" s="17">
        <v>7.101</v>
      </c>
      <c r="K35" s="97">
        <v>5.7949999999999999</v>
      </c>
    </row>
    <row r="36" spans="1:11" x14ac:dyDescent="0.2">
      <c r="A36" s="214" t="s">
        <v>370</v>
      </c>
      <c r="B36" s="97"/>
      <c r="C36" s="17"/>
      <c r="D36" s="17">
        <v>0.09</v>
      </c>
      <c r="E36" s="17">
        <v>0</v>
      </c>
      <c r="F36" s="17">
        <v>-0.04</v>
      </c>
      <c r="G36" s="17">
        <v>0.71</v>
      </c>
      <c r="H36" s="17">
        <v>0.01</v>
      </c>
      <c r="I36" s="17">
        <v>0.12</v>
      </c>
      <c r="J36" s="17"/>
      <c r="K36" s="97"/>
    </row>
    <row r="37" spans="1:11" x14ac:dyDescent="0.2">
      <c r="A37" s="214" t="s">
        <v>371</v>
      </c>
      <c r="B37" s="97"/>
      <c r="C37" s="17"/>
      <c r="D37" s="17"/>
      <c r="E37" s="17"/>
      <c r="F37" s="17"/>
      <c r="G37" s="17"/>
      <c r="H37" s="17"/>
      <c r="I37" s="17"/>
      <c r="J37" s="17"/>
      <c r="K37" s="97"/>
    </row>
    <row r="38" spans="1:11" x14ac:dyDescent="0.2">
      <c r="A38" s="214" t="s">
        <v>372</v>
      </c>
      <c r="B38" s="97"/>
      <c r="C38" s="17"/>
      <c r="D38" s="17"/>
      <c r="E38" s="17"/>
      <c r="F38" s="17"/>
      <c r="G38" s="17"/>
      <c r="H38" s="17"/>
      <c r="I38" s="17"/>
      <c r="J38" s="17"/>
      <c r="K38" s="97"/>
    </row>
    <row r="39" spans="1:11" x14ac:dyDescent="0.2">
      <c r="A39" s="214" t="s">
        <v>373</v>
      </c>
      <c r="B39" s="97">
        <v>10.92</v>
      </c>
      <c r="C39" s="17">
        <v>10.49</v>
      </c>
      <c r="D39" s="17">
        <v>8.3480000000000008</v>
      </c>
      <c r="E39" s="17">
        <v>8.36</v>
      </c>
      <c r="F39" s="17">
        <v>7.2539999999999996</v>
      </c>
      <c r="G39" s="17">
        <v>7.1</v>
      </c>
      <c r="H39" s="17">
        <v>7.2309999999999999</v>
      </c>
      <c r="I39" s="17">
        <v>6.9459999999999997</v>
      </c>
      <c r="J39" s="17">
        <v>6.625</v>
      </c>
      <c r="K39" s="97">
        <v>5.2530000000000001</v>
      </c>
    </row>
    <row r="40" spans="1:11" x14ac:dyDescent="0.2">
      <c r="A40" s="214" t="s">
        <v>374</v>
      </c>
      <c r="B40" s="97">
        <v>11.46</v>
      </c>
      <c r="C40" s="17">
        <v>11.21</v>
      </c>
      <c r="D40" s="17">
        <v>9.1300000000000008</v>
      </c>
      <c r="E40" s="17">
        <v>8.36</v>
      </c>
      <c r="F40" s="17">
        <v>7.81</v>
      </c>
      <c r="G40" s="17">
        <v>7.81</v>
      </c>
      <c r="H40" s="17">
        <v>7.64</v>
      </c>
      <c r="I40" s="17">
        <v>7.86</v>
      </c>
      <c r="J40" s="17">
        <v>7.1</v>
      </c>
      <c r="K40" s="97">
        <v>5.8</v>
      </c>
    </row>
    <row r="41" spans="1:11" x14ac:dyDescent="0.2">
      <c r="A41" s="214" t="s">
        <v>375</v>
      </c>
      <c r="B41" s="97" t="s">
        <v>169</v>
      </c>
      <c r="C41" s="17" t="s">
        <v>170</v>
      </c>
      <c r="D41" s="17" t="s">
        <v>171</v>
      </c>
      <c r="E41" s="17" t="s">
        <v>172</v>
      </c>
      <c r="F41" s="17" t="s">
        <v>173</v>
      </c>
      <c r="G41" s="17" t="s">
        <v>174</v>
      </c>
      <c r="H41" s="17" t="s">
        <v>175</v>
      </c>
      <c r="I41" s="17" t="s">
        <v>176</v>
      </c>
      <c r="J41" s="17" t="s">
        <v>177</v>
      </c>
      <c r="K41" s="97" t="s">
        <v>178</v>
      </c>
    </row>
    <row r="42" spans="1:11" x14ac:dyDescent="0.2">
      <c r="A42" s="214" t="s">
        <v>376</v>
      </c>
      <c r="B42" s="97" t="s">
        <v>377</v>
      </c>
      <c r="C42" s="17" t="s">
        <v>378</v>
      </c>
      <c r="D42" s="17" t="s">
        <v>379</v>
      </c>
      <c r="E42" s="17" t="s">
        <v>380</v>
      </c>
      <c r="F42" s="17" t="s">
        <v>381</v>
      </c>
      <c r="G42" s="17" t="s">
        <v>382</v>
      </c>
      <c r="H42" s="17" t="s">
        <v>383</v>
      </c>
      <c r="I42" s="17" t="s">
        <v>384</v>
      </c>
      <c r="J42" s="17" t="s">
        <v>385</v>
      </c>
      <c r="K42" s="97" t="s">
        <v>386</v>
      </c>
    </row>
    <row r="43" spans="1:11" x14ac:dyDescent="0.2">
      <c r="A43" s="214" t="s">
        <v>387</v>
      </c>
      <c r="B43" s="97" t="s">
        <v>388</v>
      </c>
      <c r="C43" s="17" t="s">
        <v>389</v>
      </c>
      <c r="D43" s="17" t="s">
        <v>390</v>
      </c>
      <c r="E43" s="17" t="s">
        <v>391</v>
      </c>
      <c r="F43" s="17" t="s">
        <v>392</v>
      </c>
      <c r="G43" s="17" t="s">
        <v>393</v>
      </c>
      <c r="H43" s="17" t="s">
        <v>394</v>
      </c>
      <c r="I43" s="17" t="s">
        <v>395</v>
      </c>
      <c r="J43" s="17" t="s">
        <v>396</v>
      </c>
      <c r="K43" s="97" t="s">
        <v>397</v>
      </c>
    </row>
    <row r="44" spans="1:11" x14ac:dyDescent="0.2">
      <c r="A44" s="217" t="s">
        <v>398</v>
      </c>
      <c r="B44" s="46">
        <v>6.15</v>
      </c>
      <c r="C44" s="26">
        <v>5.49</v>
      </c>
      <c r="D44" s="26">
        <v>4.78</v>
      </c>
      <c r="E44" s="26">
        <v>4.1500000000000004</v>
      </c>
      <c r="F44" s="26">
        <v>3.25</v>
      </c>
      <c r="G44" s="26">
        <v>2.64</v>
      </c>
      <c r="H44" s="26">
        <v>2.34</v>
      </c>
      <c r="I44" s="26">
        <v>1.83</v>
      </c>
      <c r="J44" s="26">
        <v>1.47</v>
      </c>
      <c r="K44" s="46">
        <v>1.2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8"/>
  <sheetViews>
    <sheetView topLeftCell="A13" zoomScale="70" zoomScaleNormal="70" zoomScalePageLayoutView="70" workbookViewId="0">
      <selection activeCell="B14" sqref="B14"/>
    </sheetView>
  </sheetViews>
  <sheetFormatPr baseColWidth="10" defaultColWidth="11" defaultRowHeight="16" x14ac:dyDescent="0.2"/>
  <cols>
    <col min="1" max="1" width="50.5" bestFit="1" customWidth="1"/>
  </cols>
  <sheetData>
    <row r="1" spans="1:11" ht="26" customHeight="1" x14ac:dyDescent="0.25">
      <c r="A1" s="255" t="s">
        <v>815</v>
      </c>
      <c r="B1" s="258"/>
      <c r="C1" s="258"/>
      <c r="D1" s="258"/>
      <c r="E1" s="258"/>
      <c r="F1" s="258"/>
      <c r="G1" s="258"/>
      <c r="H1" s="258"/>
      <c r="I1" s="258"/>
      <c r="J1" s="258"/>
      <c r="K1" s="259"/>
    </row>
    <row r="2" spans="1:11" x14ac:dyDescent="0.2">
      <c r="A2" s="239" t="s">
        <v>400</v>
      </c>
      <c r="B2" s="256" t="s">
        <v>169</v>
      </c>
      <c r="C2" s="264" t="s">
        <v>170</v>
      </c>
      <c r="D2" s="256" t="s">
        <v>171</v>
      </c>
      <c r="E2" s="264" t="s">
        <v>172</v>
      </c>
      <c r="F2" s="256" t="s">
        <v>173</v>
      </c>
      <c r="G2" s="264" t="s">
        <v>174</v>
      </c>
      <c r="H2" s="256" t="s">
        <v>175</v>
      </c>
      <c r="I2" s="264" t="s">
        <v>176</v>
      </c>
      <c r="J2" s="263" t="s">
        <v>177</v>
      </c>
      <c r="K2" s="261" t="s">
        <v>178</v>
      </c>
    </row>
    <row r="3" spans="1:11" x14ac:dyDescent="0.2">
      <c r="A3" s="239" t="s">
        <v>401</v>
      </c>
      <c r="B3" s="256" t="s">
        <v>402</v>
      </c>
      <c r="C3" s="265" t="s">
        <v>403</v>
      </c>
      <c r="D3" s="256" t="s">
        <v>404</v>
      </c>
      <c r="E3" s="265" t="s">
        <v>405</v>
      </c>
      <c r="F3" s="256" t="s">
        <v>406</v>
      </c>
      <c r="G3" s="265" t="s">
        <v>407</v>
      </c>
      <c r="H3" s="256" t="s">
        <v>408</v>
      </c>
      <c r="I3" s="265" t="s">
        <v>409</v>
      </c>
      <c r="J3" s="261" t="s">
        <v>410</v>
      </c>
      <c r="K3" s="261" t="s">
        <v>411</v>
      </c>
    </row>
    <row r="4" spans="1:11" x14ac:dyDescent="0.2">
      <c r="A4" s="239" t="s">
        <v>412</v>
      </c>
      <c r="B4" s="256"/>
      <c r="C4" s="265"/>
      <c r="D4" s="256"/>
      <c r="E4" s="265"/>
      <c r="F4" s="256"/>
      <c r="G4" s="265" t="s">
        <v>413</v>
      </c>
      <c r="H4" s="256" t="s">
        <v>414</v>
      </c>
      <c r="I4" s="265"/>
      <c r="J4" s="261" t="s">
        <v>415</v>
      </c>
      <c r="K4" s="261" t="s">
        <v>416</v>
      </c>
    </row>
    <row r="5" spans="1:11" x14ac:dyDescent="0.2">
      <c r="A5" s="239" t="s">
        <v>417</v>
      </c>
      <c r="B5" s="256" t="s">
        <v>402</v>
      </c>
      <c r="C5" s="265" t="s">
        <v>403</v>
      </c>
      <c r="D5" s="256" t="s">
        <v>404</v>
      </c>
      <c r="E5" s="265" t="s">
        <v>405</v>
      </c>
      <c r="F5" s="256" t="s">
        <v>406</v>
      </c>
      <c r="G5" s="265" t="s">
        <v>418</v>
      </c>
      <c r="H5" s="256" t="s">
        <v>419</v>
      </c>
      <c r="I5" s="265" t="s">
        <v>409</v>
      </c>
      <c r="J5" s="261" t="s">
        <v>316</v>
      </c>
      <c r="K5" s="261" t="s">
        <v>420</v>
      </c>
    </row>
    <row r="6" spans="1:11" x14ac:dyDescent="0.2">
      <c r="A6" s="239" t="s">
        <v>421</v>
      </c>
      <c r="B6" s="256" t="s">
        <v>422</v>
      </c>
      <c r="C6" s="265" t="s">
        <v>423</v>
      </c>
      <c r="D6" s="256" t="s">
        <v>424</v>
      </c>
      <c r="E6" s="265" t="s">
        <v>425</v>
      </c>
      <c r="F6" s="256" t="s">
        <v>426</v>
      </c>
      <c r="G6" s="265" t="s">
        <v>427</v>
      </c>
      <c r="H6" s="256" t="s">
        <v>428</v>
      </c>
      <c r="I6" s="265" t="s">
        <v>429</v>
      </c>
      <c r="J6" s="261" t="s">
        <v>430</v>
      </c>
      <c r="K6" s="261" t="s">
        <v>431</v>
      </c>
    </row>
    <row r="7" spans="1:11" x14ac:dyDescent="0.2">
      <c r="A7" s="239" t="s">
        <v>432</v>
      </c>
      <c r="B7" s="256" t="s">
        <v>433</v>
      </c>
      <c r="C7" s="265" t="s">
        <v>434</v>
      </c>
      <c r="D7" s="256"/>
      <c r="E7" s="265"/>
      <c r="F7" s="256"/>
      <c r="G7" s="265"/>
      <c r="H7" s="256"/>
      <c r="I7" s="265"/>
      <c r="J7" s="261"/>
      <c r="K7" s="261"/>
    </row>
    <row r="8" spans="1:11" x14ac:dyDescent="0.2">
      <c r="A8" s="239" t="s">
        <v>435</v>
      </c>
      <c r="B8" s="256" t="s">
        <v>436</v>
      </c>
      <c r="C8" s="265" t="s">
        <v>437</v>
      </c>
      <c r="D8" s="256" t="s">
        <v>424</v>
      </c>
      <c r="E8" s="265" t="s">
        <v>425</v>
      </c>
      <c r="F8" s="256" t="s">
        <v>426</v>
      </c>
      <c r="G8" s="265" t="s">
        <v>427</v>
      </c>
      <c r="H8" s="256" t="s">
        <v>428</v>
      </c>
      <c r="I8" s="265" t="s">
        <v>429</v>
      </c>
      <c r="J8" s="261" t="s">
        <v>430</v>
      </c>
      <c r="K8" s="261" t="s">
        <v>431</v>
      </c>
    </row>
    <row r="9" spans="1:11" x14ac:dyDescent="0.2">
      <c r="A9" s="239" t="s">
        <v>438</v>
      </c>
      <c r="B9" s="256" t="s">
        <v>439</v>
      </c>
      <c r="C9" s="265" t="s">
        <v>440</v>
      </c>
      <c r="D9" s="256" t="s">
        <v>441</v>
      </c>
      <c r="E9" s="265" t="s">
        <v>442</v>
      </c>
      <c r="F9" s="256" t="s">
        <v>443</v>
      </c>
      <c r="G9" s="265" t="s">
        <v>444</v>
      </c>
      <c r="H9" s="256" t="s">
        <v>445</v>
      </c>
      <c r="I9" s="265" t="s">
        <v>446</v>
      </c>
      <c r="J9" s="261" t="s">
        <v>447</v>
      </c>
      <c r="K9" s="261" t="s">
        <v>448</v>
      </c>
    </row>
    <row r="10" spans="1:11" x14ac:dyDescent="0.2">
      <c r="A10" s="239" t="s">
        <v>449</v>
      </c>
      <c r="B10" s="256" t="s">
        <v>450</v>
      </c>
      <c r="C10" s="265" t="s">
        <v>451</v>
      </c>
      <c r="D10" s="256" t="s">
        <v>452</v>
      </c>
      <c r="E10" s="265" t="s">
        <v>453</v>
      </c>
      <c r="F10" s="256" t="s">
        <v>454</v>
      </c>
      <c r="G10" s="265" t="s">
        <v>455</v>
      </c>
      <c r="H10" s="256" t="s">
        <v>456</v>
      </c>
      <c r="I10" s="265" t="s">
        <v>457</v>
      </c>
      <c r="J10" s="261" t="s">
        <v>458</v>
      </c>
      <c r="K10" s="261" t="s">
        <v>459</v>
      </c>
    </row>
    <row r="11" spans="1:11" x14ac:dyDescent="0.2">
      <c r="A11" s="239" t="s">
        <v>460</v>
      </c>
      <c r="B11" s="256" t="s">
        <v>461</v>
      </c>
      <c r="C11" s="265" t="s">
        <v>462</v>
      </c>
      <c r="D11" s="256" t="s">
        <v>463</v>
      </c>
      <c r="E11" s="265" t="s">
        <v>464</v>
      </c>
      <c r="F11" s="256" t="s">
        <v>465</v>
      </c>
      <c r="G11" s="265" t="s">
        <v>466</v>
      </c>
      <c r="H11" s="256" t="s">
        <v>467</v>
      </c>
      <c r="I11" s="265" t="s">
        <v>468</v>
      </c>
      <c r="J11" s="261" t="s">
        <v>469</v>
      </c>
      <c r="K11" s="261" t="s">
        <v>470</v>
      </c>
    </row>
    <row r="12" spans="1:11" x14ac:dyDescent="0.2">
      <c r="A12" s="239" t="s">
        <v>471</v>
      </c>
      <c r="B12" s="256" t="s">
        <v>472</v>
      </c>
      <c r="C12" s="265" t="s">
        <v>473</v>
      </c>
      <c r="D12" s="256" t="s">
        <v>474</v>
      </c>
      <c r="E12" s="265" t="s">
        <v>475</v>
      </c>
      <c r="F12" s="256" t="s">
        <v>476</v>
      </c>
      <c r="G12" s="265" t="s">
        <v>477</v>
      </c>
      <c r="H12" s="256" t="s">
        <v>478</v>
      </c>
      <c r="I12" s="265" t="s">
        <v>479</v>
      </c>
      <c r="J12" s="261" t="s">
        <v>480</v>
      </c>
      <c r="K12" s="261" t="s">
        <v>481</v>
      </c>
    </row>
    <row r="13" spans="1:11" x14ac:dyDescent="0.2">
      <c r="A13" s="239" t="s">
        <v>482</v>
      </c>
      <c r="B13" s="256" t="s">
        <v>483</v>
      </c>
      <c r="C13" s="265" t="s">
        <v>484</v>
      </c>
      <c r="D13" s="256" t="s">
        <v>485</v>
      </c>
      <c r="E13" s="265" t="s">
        <v>486</v>
      </c>
      <c r="F13" s="256" t="s">
        <v>487</v>
      </c>
      <c r="G13" s="265" t="s">
        <v>488</v>
      </c>
      <c r="H13" s="256" t="s">
        <v>489</v>
      </c>
      <c r="I13" s="265" t="s">
        <v>490</v>
      </c>
      <c r="J13" s="261" t="s">
        <v>491</v>
      </c>
      <c r="K13" s="261" t="s">
        <v>492</v>
      </c>
    </row>
    <row r="14" spans="1:11" x14ac:dyDescent="0.2">
      <c r="A14" s="239" t="s">
        <v>493</v>
      </c>
      <c r="B14" s="256" t="s">
        <v>494</v>
      </c>
      <c r="C14" s="265" t="s">
        <v>495</v>
      </c>
      <c r="D14" s="256" t="s">
        <v>496</v>
      </c>
      <c r="E14" s="265" t="s">
        <v>497</v>
      </c>
      <c r="F14" s="256" t="s">
        <v>498</v>
      </c>
      <c r="G14" s="265" t="s">
        <v>499</v>
      </c>
      <c r="H14" s="256" t="s">
        <v>500</v>
      </c>
      <c r="I14" s="265" t="s">
        <v>501</v>
      </c>
      <c r="J14" s="261" t="s">
        <v>502</v>
      </c>
      <c r="K14" s="261" t="s">
        <v>503</v>
      </c>
    </row>
    <row r="15" spans="1:11" x14ac:dyDescent="0.2">
      <c r="A15" s="239" t="s">
        <v>504</v>
      </c>
      <c r="B15" s="256" t="s">
        <v>269</v>
      </c>
      <c r="C15" s="265" t="s">
        <v>505</v>
      </c>
      <c r="D15" s="256" t="s">
        <v>505</v>
      </c>
      <c r="E15" s="265" t="s">
        <v>506</v>
      </c>
      <c r="F15" s="256" t="s">
        <v>507</v>
      </c>
      <c r="G15" s="265" t="s">
        <v>508</v>
      </c>
      <c r="H15" s="256" t="s">
        <v>509</v>
      </c>
      <c r="I15" s="265" t="s">
        <v>510</v>
      </c>
      <c r="J15" s="261" t="s">
        <v>509</v>
      </c>
      <c r="K15" s="261" t="s">
        <v>511</v>
      </c>
    </row>
    <row r="16" spans="1:11" x14ac:dyDescent="0.2">
      <c r="A16" s="239" t="s">
        <v>512</v>
      </c>
      <c r="B16" s="256" t="s">
        <v>513</v>
      </c>
      <c r="C16" s="265" t="s">
        <v>514</v>
      </c>
      <c r="D16" s="256" t="s">
        <v>515</v>
      </c>
      <c r="E16" s="265" t="s">
        <v>516</v>
      </c>
      <c r="F16" s="256" t="s">
        <v>517</v>
      </c>
      <c r="G16" s="265" t="s">
        <v>518</v>
      </c>
      <c r="H16" s="256" t="s">
        <v>519</v>
      </c>
      <c r="I16" s="265" t="s">
        <v>520</v>
      </c>
      <c r="J16" s="261" t="s">
        <v>209</v>
      </c>
      <c r="K16" s="261" t="s">
        <v>521</v>
      </c>
    </row>
    <row r="17" spans="1:11" x14ac:dyDescent="0.2">
      <c r="A17" s="239" t="s">
        <v>522</v>
      </c>
      <c r="B17" s="256" t="s">
        <v>523</v>
      </c>
      <c r="C17" s="265" t="s">
        <v>524</v>
      </c>
      <c r="D17" s="256" t="s">
        <v>525</v>
      </c>
      <c r="E17" s="265" t="s">
        <v>526</v>
      </c>
      <c r="F17" s="256" t="s">
        <v>527</v>
      </c>
      <c r="G17" s="265" t="s">
        <v>528</v>
      </c>
      <c r="H17" s="256" t="s">
        <v>529</v>
      </c>
      <c r="I17" s="265" t="s">
        <v>530</v>
      </c>
      <c r="J17" s="261" t="s">
        <v>531</v>
      </c>
      <c r="K17" s="261" t="s">
        <v>532</v>
      </c>
    </row>
    <row r="18" spans="1:11" x14ac:dyDescent="0.2">
      <c r="A18" s="239" t="s">
        <v>533</v>
      </c>
      <c r="B18" s="256" t="s">
        <v>534</v>
      </c>
      <c r="C18" s="265" t="s">
        <v>535</v>
      </c>
      <c r="D18" s="256" t="s">
        <v>483</v>
      </c>
      <c r="E18" s="265" t="s">
        <v>536</v>
      </c>
      <c r="F18" s="256" t="s">
        <v>537</v>
      </c>
      <c r="G18" s="265" t="s">
        <v>538</v>
      </c>
      <c r="H18" s="256"/>
      <c r="I18" s="265"/>
      <c r="J18" s="261"/>
      <c r="K18" s="261"/>
    </row>
    <row r="19" spans="1:11" x14ac:dyDescent="0.2">
      <c r="A19" s="239" t="s">
        <v>539</v>
      </c>
      <c r="B19" s="256" t="s">
        <v>540</v>
      </c>
      <c r="C19" s="265" t="s">
        <v>541</v>
      </c>
      <c r="D19" s="256" t="s">
        <v>542</v>
      </c>
      <c r="E19" s="265" t="s">
        <v>543</v>
      </c>
      <c r="F19" s="256" t="s">
        <v>544</v>
      </c>
      <c r="G19" s="265" t="s">
        <v>545</v>
      </c>
      <c r="H19" s="256" t="s">
        <v>546</v>
      </c>
      <c r="I19" s="265" t="s">
        <v>547</v>
      </c>
      <c r="J19" s="261" t="s">
        <v>548</v>
      </c>
      <c r="K19" s="261" t="s">
        <v>549</v>
      </c>
    </row>
    <row r="20" spans="1:11" x14ac:dyDescent="0.2">
      <c r="A20" s="239" t="s">
        <v>550</v>
      </c>
      <c r="B20" s="256" t="s">
        <v>551</v>
      </c>
      <c r="C20" s="265" t="s">
        <v>552</v>
      </c>
      <c r="D20" s="256" t="s">
        <v>553</v>
      </c>
      <c r="E20" s="265" t="s">
        <v>554</v>
      </c>
      <c r="F20" s="256" t="s">
        <v>555</v>
      </c>
      <c r="G20" s="265" t="s">
        <v>556</v>
      </c>
      <c r="H20" s="256" t="s">
        <v>557</v>
      </c>
      <c r="I20" s="265" t="s">
        <v>558</v>
      </c>
      <c r="J20" s="261" t="s">
        <v>559</v>
      </c>
      <c r="K20" s="261" t="s">
        <v>560</v>
      </c>
    </row>
    <row r="21" spans="1:11" x14ac:dyDescent="0.2">
      <c r="A21" s="239" t="s">
        <v>561</v>
      </c>
      <c r="B21" s="256" t="s">
        <v>562</v>
      </c>
      <c r="C21" s="265" t="s">
        <v>563</v>
      </c>
      <c r="D21" s="256" t="s">
        <v>564</v>
      </c>
      <c r="E21" s="265" t="s">
        <v>565</v>
      </c>
      <c r="F21" s="256" t="s">
        <v>566</v>
      </c>
      <c r="G21" s="265" t="s">
        <v>567</v>
      </c>
      <c r="H21" s="256" t="s">
        <v>568</v>
      </c>
      <c r="I21" s="265" t="s">
        <v>569</v>
      </c>
      <c r="J21" s="261" t="s">
        <v>570</v>
      </c>
      <c r="K21" s="261" t="s">
        <v>571</v>
      </c>
    </row>
    <row r="22" spans="1:11" x14ac:dyDescent="0.2">
      <c r="A22" s="239" t="s">
        <v>572</v>
      </c>
      <c r="B22" s="256" t="s">
        <v>573</v>
      </c>
      <c r="C22" s="265" t="s">
        <v>574</v>
      </c>
      <c r="D22" s="256" t="s">
        <v>575</v>
      </c>
      <c r="E22" s="265" t="s">
        <v>576</v>
      </c>
      <c r="F22" s="256" t="s">
        <v>577</v>
      </c>
      <c r="G22" s="265" t="s">
        <v>578</v>
      </c>
      <c r="H22" s="256" t="s">
        <v>579</v>
      </c>
      <c r="I22" s="265" t="s">
        <v>580</v>
      </c>
      <c r="J22" s="261" t="s">
        <v>581</v>
      </c>
      <c r="K22" s="261" t="s">
        <v>582</v>
      </c>
    </row>
    <row r="23" spans="1:11" x14ac:dyDescent="0.2">
      <c r="A23" s="239" t="s">
        <v>583</v>
      </c>
      <c r="B23" s="256" t="s">
        <v>208</v>
      </c>
      <c r="C23" s="265" t="s">
        <v>584</v>
      </c>
      <c r="D23" s="256"/>
      <c r="E23" s="265"/>
      <c r="F23" s="256"/>
      <c r="G23" s="265"/>
      <c r="H23" s="256"/>
      <c r="I23" s="265" t="s">
        <v>585</v>
      </c>
      <c r="J23" s="261" t="s">
        <v>586</v>
      </c>
      <c r="K23" s="261" t="s">
        <v>587</v>
      </c>
    </row>
    <row r="24" spans="1:11" x14ac:dyDescent="0.2">
      <c r="A24" s="239" t="s">
        <v>588</v>
      </c>
      <c r="B24" s="256" t="s">
        <v>589</v>
      </c>
      <c r="C24" s="265" t="s">
        <v>590</v>
      </c>
      <c r="D24" s="256" t="s">
        <v>575</v>
      </c>
      <c r="E24" s="265" t="s">
        <v>576</v>
      </c>
      <c r="F24" s="256" t="s">
        <v>577</v>
      </c>
      <c r="G24" s="265" t="s">
        <v>578</v>
      </c>
      <c r="H24" s="256" t="s">
        <v>579</v>
      </c>
      <c r="I24" s="265" t="s">
        <v>591</v>
      </c>
      <c r="J24" s="261" t="s">
        <v>592</v>
      </c>
      <c r="K24" s="261" t="s">
        <v>593</v>
      </c>
    </row>
    <row r="25" spans="1:11" x14ac:dyDescent="0.2">
      <c r="A25" s="239" t="s">
        <v>594</v>
      </c>
      <c r="B25" s="256"/>
      <c r="C25" s="265"/>
      <c r="D25" s="256"/>
      <c r="E25" s="265"/>
      <c r="F25" s="256"/>
      <c r="G25" s="265"/>
      <c r="H25" s="256"/>
      <c r="I25" s="265"/>
      <c r="J25" s="261"/>
      <c r="K25" s="261"/>
    </row>
    <row r="26" spans="1:11" x14ac:dyDescent="0.2">
      <c r="A26" s="239" t="s">
        <v>595</v>
      </c>
      <c r="B26" s="256" t="s">
        <v>596</v>
      </c>
      <c r="C26" s="265" t="s">
        <v>597</v>
      </c>
      <c r="D26" s="256" t="s">
        <v>598</v>
      </c>
      <c r="E26" s="265" t="s">
        <v>599</v>
      </c>
      <c r="F26" s="256" t="s">
        <v>600</v>
      </c>
      <c r="G26" s="265" t="s">
        <v>601</v>
      </c>
      <c r="H26" s="256" t="s">
        <v>602</v>
      </c>
      <c r="I26" s="265" t="s">
        <v>603</v>
      </c>
      <c r="J26" s="261" t="s">
        <v>604</v>
      </c>
      <c r="K26" s="261" t="s">
        <v>605</v>
      </c>
    </row>
    <row r="27" spans="1:11" x14ac:dyDescent="0.2">
      <c r="A27" s="239" t="s">
        <v>606</v>
      </c>
      <c r="B27" s="256" t="s">
        <v>607</v>
      </c>
      <c r="C27" s="265" t="s">
        <v>608</v>
      </c>
      <c r="D27" s="256" t="s">
        <v>609</v>
      </c>
      <c r="E27" s="265" t="s">
        <v>610</v>
      </c>
      <c r="F27" s="256" t="s">
        <v>611</v>
      </c>
      <c r="G27" s="265" t="s">
        <v>612</v>
      </c>
      <c r="H27" s="256" t="s">
        <v>613</v>
      </c>
      <c r="I27" s="265" t="s">
        <v>614</v>
      </c>
      <c r="J27" s="261" t="s">
        <v>615</v>
      </c>
      <c r="K27" s="261" t="s">
        <v>616</v>
      </c>
    </row>
    <row r="28" spans="1:11" x14ac:dyDescent="0.2">
      <c r="A28" s="239" t="s">
        <v>617</v>
      </c>
      <c r="B28" s="256" t="s">
        <v>618</v>
      </c>
      <c r="C28" s="265" t="s">
        <v>619</v>
      </c>
      <c r="D28" s="256" t="s">
        <v>620</v>
      </c>
      <c r="E28" s="265" t="s">
        <v>621</v>
      </c>
      <c r="F28" s="256" t="s">
        <v>622</v>
      </c>
      <c r="G28" s="265" t="s">
        <v>623</v>
      </c>
      <c r="H28" s="256" t="s">
        <v>624</v>
      </c>
      <c r="I28" s="265" t="s">
        <v>625</v>
      </c>
      <c r="J28" s="261" t="s">
        <v>626</v>
      </c>
      <c r="K28" s="261" t="s">
        <v>627</v>
      </c>
    </row>
    <row r="29" spans="1:11" x14ac:dyDescent="0.2">
      <c r="A29" s="239" t="s">
        <v>129</v>
      </c>
      <c r="B29" s="256" t="s">
        <v>628</v>
      </c>
      <c r="C29" s="265" t="s">
        <v>629</v>
      </c>
      <c r="D29" s="256" t="s">
        <v>200</v>
      </c>
      <c r="E29" s="265" t="s">
        <v>630</v>
      </c>
      <c r="F29" s="256" t="s">
        <v>631</v>
      </c>
      <c r="G29" s="265" t="s">
        <v>632</v>
      </c>
      <c r="H29" s="256" t="s">
        <v>632</v>
      </c>
      <c r="I29" s="265" t="s">
        <v>633</v>
      </c>
      <c r="J29" s="261" t="s">
        <v>634</v>
      </c>
      <c r="K29" s="261" t="s">
        <v>635</v>
      </c>
    </row>
    <row r="30" spans="1:11" x14ac:dyDescent="0.2">
      <c r="A30" s="239" t="s">
        <v>636</v>
      </c>
      <c r="B30" s="256" t="s">
        <v>169</v>
      </c>
      <c r="C30" s="265" t="s">
        <v>170</v>
      </c>
      <c r="D30" s="256" t="s">
        <v>171</v>
      </c>
      <c r="E30" s="265" t="s">
        <v>172</v>
      </c>
      <c r="F30" s="256" t="s">
        <v>173</v>
      </c>
      <c r="G30" s="265" t="s">
        <v>174</v>
      </c>
      <c r="H30" s="256" t="s">
        <v>175</v>
      </c>
      <c r="I30" s="265" t="s">
        <v>176</v>
      </c>
      <c r="J30" s="261" t="s">
        <v>177</v>
      </c>
      <c r="K30" s="261" t="s">
        <v>178</v>
      </c>
    </row>
    <row r="31" spans="1:11" x14ac:dyDescent="0.2">
      <c r="A31" s="239" t="s">
        <v>637</v>
      </c>
      <c r="B31" s="256" t="s">
        <v>638</v>
      </c>
      <c r="C31" s="265" t="s">
        <v>639</v>
      </c>
      <c r="D31" s="256" t="s">
        <v>640</v>
      </c>
      <c r="E31" s="265" t="s">
        <v>641</v>
      </c>
      <c r="F31" s="256" t="s">
        <v>642</v>
      </c>
      <c r="G31" s="265" t="s">
        <v>643</v>
      </c>
      <c r="H31" s="256" t="s">
        <v>644</v>
      </c>
      <c r="I31" s="265" t="s">
        <v>644</v>
      </c>
      <c r="J31" s="261" t="s">
        <v>645</v>
      </c>
      <c r="K31" s="261" t="s">
        <v>646</v>
      </c>
    </row>
    <row r="32" spans="1:11" x14ac:dyDescent="0.2">
      <c r="A32" s="239" t="s">
        <v>647</v>
      </c>
      <c r="B32" s="256"/>
      <c r="C32" s="265"/>
      <c r="D32" s="256"/>
      <c r="E32" s="265"/>
      <c r="F32" s="256"/>
      <c r="G32" s="265"/>
      <c r="H32" s="256"/>
      <c r="I32" s="265"/>
      <c r="J32" s="261"/>
      <c r="K32" s="261"/>
    </row>
    <row r="33" spans="1:11" x14ac:dyDescent="0.2">
      <c r="A33" s="239" t="s">
        <v>648</v>
      </c>
      <c r="B33" s="256" t="s">
        <v>638</v>
      </c>
      <c r="C33" s="265" t="s">
        <v>639</v>
      </c>
      <c r="D33" s="256" t="s">
        <v>640</v>
      </c>
      <c r="E33" s="265" t="s">
        <v>641</v>
      </c>
      <c r="F33" s="256" t="s">
        <v>642</v>
      </c>
      <c r="G33" s="265" t="s">
        <v>643</v>
      </c>
      <c r="H33" s="256" t="s">
        <v>644</v>
      </c>
      <c r="I33" s="265" t="s">
        <v>644</v>
      </c>
      <c r="J33" s="261" t="s">
        <v>645</v>
      </c>
      <c r="K33" s="261" t="s">
        <v>646</v>
      </c>
    </row>
    <row r="34" spans="1:11" x14ac:dyDescent="0.2">
      <c r="A34" s="239" t="s">
        <v>649</v>
      </c>
      <c r="B34" s="256" t="s">
        <v>650</v>
      </c>
      <c r="C34" s="265" t="s">
        <v>651</v>
      </c>
      <c r="D34" s="256" t="s">
        <v>652</v>
      </c>
      <c r="E34" s="265" t="s">
        <v>653</v>
      </c>
      <c r="F34" s="256" t="s">
        <v>654</v>
      </c>
      <c r="G34" s="265" t="s">
        <v>655</v>
      </c>
      <c r="H34" s="256" t="s">
        <v>656</v>
      </c>
      <c r="I34" s="265" t="s">
        <v>657</v>
      </c>
      <c r="J34" s="261" t="s">
        <v>658</v>
      </c>
      <c r="K34" s="261" t="s">
        <v>659</v>
      </c>
    </row>
    <row r="35" spans="1:11" x14ac:dyDescent="0.2">
      <c r="A35" s="239" t="s">
        <v>660</v>
      </c>
      <c r="B35" s="256" t="s">
        <v>661</v>
      </c>
      <c r="C35" s="265" t="s">
        <v>662</v>
      </c>
      <c r="D35" s="256" t="s">
        <v>663</v>
      </c>
      <c r="E35" s="265" t="s">
        <v>664</v>
      </c>
      <c r="F35" s="256" t="s">
        <v>665</v>
      </c>
      <c r="G35" s="265" t="s">
        <v>666</v>
      </c>
      <c r="H35" s="256" t="s">
        <v>667</v>
      </c>
      <c r="I35" s="265" t="s">
        <v>668</v>
      </c>
      <c r="J35" s="261" t="s">
        <v>669</v>
      </c>
      <c r="K35" s="261" t="s">
        <v>670</v>
      </c>
    </row>
    <row r="36" spans="1:11" x14ac:dyDescent="0.2">
      <c r="A36" s="239" t="s">
        <v>671</v>
      </c>
      <c r="B36" s="256" t="s">
        <v>672</v>
      </c>
      <c r="C36" s="265"/>
      <c r="D36" s="256"/>
      <c r="E36" s="265" t="s">
        <v>673</v>
      </c>
      <c r="F36" s="256">
        <v>0</v>
      </c>
      <c r="G36" s="265"/>
      <c r="H36" s="256"/>
      <c r="I36" s="265" t="s">
        <v>674</v>
      </c>
      <c r="J36" s="261" t="s">
        <v>675</v>
      </c>
      <c r="K36" s="261" t="s">
        <v>676</v>
      </c>
    </row>
    <row r="37" spans="1:11" x14ac:dyDescent="0.2">
      <c r="A37" s="239" t="s">
        <v>677</v>
      </c>
      <c r="B37" s="256" t="s">
        <v>672</v>
      </c>
      <c r="C37" s="265"/>
      <c r="D37" s="256"/>
      <c r="E37" s="265" t="s">
        <v>673</v>
      </c>
      <c r="F37" s="256">
        <v>0</v>
      </c>
      <c r="G37" s="265"/>
      <c r="H37" s="256"/>
      <c r="I37" s="265" t="s">
        <v>674</v>
      </c>
      <c r="J37" s="261" t="s">
        <v>675</v>
      </c>
      <c r="K37" s="261" t="s">
        <v>676</v>
      </c>
    </row>
    <row r="38" spans="1:11" x14ac:dyDescent="0.2">
      <c r="A38" s="239" t="s">
        <v>678</v>
      </c>
      <c r="B38" s="256" t="s">
        <v>679</v>
      </c>
      <c r="C38" s="265" t="s">
        <v>680</v>
      </c>
      <c r="D38" s="256" t="s">
        <v>681</v>
      </c>
      <c r="E38" s="265" t="s">
        <v>682</v>
      </c>
      <c r="F38" s="256" t="s">
        <v>683</v>
      </c>
      <c r="G38" s="265" t="s">
        <v>684</v>
      </c>
      <c r="H38" s="256" t="s">
        <v>238</v>
      </c>
      <c r="I38" s="265" t="s">
        <v>685</v>
      </c>
      <c r="J38" s="261" t="s">
        <v>686</v>
      </c>
      <c r="K38" s="261" t="s">
        <v>687</v>
      </c>
    </row>
    <row r="39" spans="1:11" x14ac:dyDescent="0.2">
      <c r="A39" s="239" t="s">
        <v>688</v>
      </c>
      <c r="B39" s="256" t="s">
        <v>679</v>
      </c>
      <c r="C39" s="265" t="s">
        <v>680</v>
      </c>
      <c r="D39" s="256" t="s">
        <v>681</v>
      </c>
      <c r="E39" s="265" t="s">
        <v>682</v>
      </c>
      <c r="F39" s="256" t="s">
        <v>683</v>
      </c>
      <c r="G39" s="265" t="s">
        <v>684</v>
      </c>
      <c r="H39" s="256" t="s">
        <v>238</v>
      </c>
      <c r="I39" s="265" t="s">
        <v>685</v>
      </c>
      <c r="J39" s="261" t="s">
        <v>686</v>
      </c>
      <c r="K39" s="261" t="s">
        <v>687</v>
      </c>
    </row>
    <row r="40" spans="1:11" x14ac:dyDescent="0.2">
      <c r="A40" s="239" t="s">
        <v>689</v>
      </c>
      <c r="B40" s="256" t="s">
        <v>690</v>
      </c>
      <c r="C40" s="265" t="s">
        <v>691</v>
      </c>
      <c r="D40" s="256" t="s">
        <v>692</v>
      </c>
      <c r="E40" s="265" t="s">
        <v>693</v>
      </c>
      <c r="F40" s="256" t="s">
        <v>450</v>
      </c>
      <c r="G40" s="265" t="s">
        <v>694</v>
      </c>
      <c r="H40" s="256" t="s">
        <v>695</v>
      </c>
      <c r="I40" s="265" t="s">
        <v>696</v>
      </c>
      <c r="J40" s="261" t="s">
        <v>694</v>
      </c>
      <c r="K40" s="261" t="s">
        <v>697</v>
      </c>
    </row>
    <row r="41" spans="1:11" x14ac:dyDescent="0.2">
      <c r="A41" s="239" t="s">
        <v>698</v>
      </c>
      <c r="B41" s="256" t="s">
        <v>699</v>
      </c>
      <c r="C41" s="265" t="s">
        <v>700</v>
      </c>
      <c r="D41" s="256" t="s">
        <v>701</v>
      </c>
      <c r="E41" s="265" t="s">
        <v>702</v>
      </c>
      <c r="F41" s="256" t="s">
        <v>703</v>
      </c>
      <c r="G41" s="265" t="s">
        <v>546</v>
      </c>
      <c r="H41" s="256" t="s">
        <v>704</v>
      </c>
      <c r="I41" s="265" t="s">
        <v>705</v>
      </c>
      <c r="J41" s="261" t="s">
        <v>706</v>
      </c>
      <c r="K41" s="261" t="s">
        <v>707</v>
      </c>
    </row>
    <row r="42" spans="1:11" x14ac:dyDescent="0.2">
      <c r="A42" s="239" t="s">
        <v>708</v>
      </c>
      <c r="B42" s="256" t="s">
        <v>709</v>
      </c>
      <c r="C42" s="265" t="s">
        <v>710</v>
      </c>
      <c r="D42" s="256" t="s">
        <v>711</v>
      </c>
      <c r="E42" s="265" t="s">
        <v>712</v>
      </c>
      <c r="F42" s="256" t="s">
        <v>713</v>
      </c>
      <c r="G42" s="265" t="s">
        <v>714</v>
      </c>
      <c r="H42" s="256" t="s">
        <v>715</v>
      </c>
      <c r="I42" s="265" t="s">
        <v>716</v>
      </c>
      <c r="J42" s="261" t="s">
        <v>717</v>
      </c>
      <c r="K42" s="261" t="s">
        <v>718</v>
      </c>
    </row>
    <row r="43" spans="1:11" x14ac:dyDescent="0.2">
      <c r="A43" s="239" t="s">
        <v>719</v>
      </c>
      <c r="B43" s="256" t="s">
        <v>709</v>
      </c>
      <c r="C43" s="265" t="s">
        <v>710</v>
      </c>
      <c r="D43" s="256" t="s">
        <v>711</v>
      </c>
      <c r="E43" s="265" t="s">
        <v>712</v>
      </c>
      <c r="F43" s="256" t="s">
        <v>713</v>
      </c>
      <c r="G43" s="265" t="s">
        <v>714</v>
      </c>
      <c r="H43" s="256" t="s">
        <v>715</v>
      </c>
      <c r="I43" s="265" t="s">
        <v>716</v>
      </c>
      <c r="J43" s="261" t="s">
        <v>717</v>
      </c>
      <c r="K43" s="261" t="s">
        <v>718</v>
      </c>
    </row>
    <row r="44" spans="1:11" x14ac:dyDescent="0.2">
      <c r="A44" s="239" t="s">
        <v>720</v>
      </c>
      <c r="B44" s="256"/>
      <c r="C44" s="265"/>
      <c r="D44" s="256"/>
      <c r="E44" s="265"/>
      <c r="F44" s="256"/>
      <c r="G44" s="265"/>
      <c r="H44" s="256"/>
      <c r="I44" s="265"/>
      <c r="J44" s="261"/>
      <c r="K44" s="261"/>
    </row>
    <row r="45" spans="1:11" x14ac:dyDescent="0.2">
      <c r="A45" s="239" t="s">
        <v>721</v>
      </c>
      <c r="B45" s="256"/>
      <c r="C45" s="265"/>
      <c r="D45" s="256"/>
      <c r="E45" s="265"/>
      <c r="F45" s="256"/>
      <c r="G45" s="265"/>
      <c r="H45" s="256"/>
      <c r="I45" s="265"/>
      <c r="J45" s="261"/>
      <c r="K45" s="261"/>
    </row>
    <row r="46" spans="1:11" x14ac:dyDescent="0.2">
      <c r="A46" s="239" t="s">
        <v>722</v>
      </c>
      <c r="B46" s="256"/>
      <c r="C46" s="265"/>
      <c r="D46" s="256"/>
      <c r="E46" s="265"/>
      <c r="F46" s="256"/>
      <c r="G46" s="265" t="s">
        <v>723</v>
      </c>
      <c r="H46" s="256" t="s">
        <v>724</v>
      </c>
      <c r="I46" s="265" t="s">
        <v>725</v>
      </c>
      <c r="J46" s="261" t="s">
        <v>726</v>
      </c>
      <c r="K46" s="261"/>
    </row>
    <row r="47" spans="1:11" x14ac:dyDescent="0.2">
      <c r="A47" s="239" t="s">
        <v>727</v>
      </c>
      <c r="B47" s="256" t="s">
        <v>728</v>
      </c>
      <c r="C47" s="265" t="s">
        <v>729</v>
      </c>
      <c r="D47" s="256" t="s">
        <v>730</v>
      </c>
      <c r="E47" s="265" t="s">
        <v>731</v>
      </c>
      <c r="F47" s="256" t="s">
        <v>732</v>
      </c>
      <c r="G47" s="265" t="s">
        <v>733</v>
      </c>
      <c r="H47" s="256" t="s">
        <v>734</v>
      </c>
      <c r="I47" s="265" t="s">
        <v>735</v>
      </c>
      <c r="J47" s="261" t="s">
        <v>736</v>
      </c>
      <c r="K47" s="261" t="s">
        <v>737</v>
      </c>
    </row>
    <row r="48" spans="1:11" x14ac:dyDescent="0.2">
      <c r="A48" s="239" t="s">
        <v>738</v>
      </c>
      <c r="B48" s="256" t="s">
        <v>739</v>
      </c>
      <c r="C48" s="265" t="s">
        <v>740</v>
      </c>
      <c r="D48" s="256" t="s">
        <v>741</v>
      </c>
      <c r="E48" s="265" t="s">
        <v>742</v>
      </c>
      <c r="F48" s="256" t="s">
        <v>743</v>
      </c>
      <c r="G48" s="265" t="s">
        <v>744</v>
      </c>
      <c r="H48" s="256" t="s">
        <v>745</v>
      </c>
      <c r="I48" s="265" t="s">
        <v>746</v>
      </c>
      <c r="J48" s="261" t="s">
        <v>747</v>
      </c>
      <c r="K48" s="261" t="s">
        <v>748</v>
      </c>
    </row>
    <row r="49" spans="1:11" x14ac:dyDescent="0.2">
      <c r="A49" s="239" t="s">
        <v>749</v>
      </c>
      <c r="B49" s="256" t="s">
        <v>750</v>
      </c>
      <c r="C49" s="265" t="s">
        <v>751</v>
      </c>
      <c r="D49" s="256" t="s">
        <v>752</v>
      </c>
      <c r="E49" s="265" t="s">
        <v>753</v>
      </c>
      <c r="F49" s="256" t="s">
        <v>754</v>
      </c>
      <c r="G49" s="265" t="s">
        <v>755</v>
      </c>
      <c r="H49" s="256" t="s">
        <v>756</v>
      </c>
      <c r="I49" s="265" t="s">
        <v>757</v>
      </c>
      <c r="J49" s="261" t="s">
        <v>758</v>
      </c>
      <c r="K49" s="261" t="s">
        <v>759</v>
      </c>
    </row>
    <row r="50" spans="1:11" x14ac:dyDescent="0.2">
      <c r="A50" s="239" t="s">
        <v>760</v>
      </c>
      <c r="B50" s="256" t="s">
        <v>761</v>
      </c>
      <c r="C50" s="265" t="s">
        <v>762</v>
      </c>
      <c r="D50" s="256" t="s">
        <v>763</v>
      </c>
      <c r="E50" s="265" t="s">
        <v>764</v>
      </c>
      <c r="F50" s="256" t="s">
        <v>765</v>
      </c>
      <c r="G50" s="265" t="s">
        <v>766</v>
      </c>
      <c r="H50" s="256" t="s">
        <v>767</v>
      </c>
      <c r="I50" s="265" t="s">
        <v>768</v>
      </c>
      <c r="J50" s="261" t="s">
        <v>769</v>
      </c>
      <c r="K50" s="261" t="s">
        <v>770</v>
      </c>
    </row>
    <row r="51" spans="1:11" x14ac:dyDescent="0.2">
      <c r="A51" s="239" t="s">
        <v>771</v>
      </c>
      <c r="B51" s="256" t="s">
        <v>169</v>
      </c>
      <c r="C51" s="265" t="s">
        <v>170</v>
      </c>
      <c r="D51" s="256" t="s">
        <v>171</v>
      </c>
      <c r="E51" s="265" t="s">
        <v>172</v>
      </c>
      <c r="F51" s="256" t="s">
        <v>173</v>
      </c>
      <c r="G51" s="265" t="s">
        <v>174</v>
      </c>
      <c r="H51" s="256" t="s">
        <v>175</v>
      </c>
      <c r="I51" s="265" t="s">
        <v>176</v>
      </c>
      <c r="J51" s="261" t="s">
        <v>177</v>
      </c>
      <c r="K51" s="261" t="s">
        <v>178</v>
      </c>
    </row>
    <row r="52" spans="1:11" x14ac:dyDescent="0.2">
      <c r="A52" s="239" t="s">
        <v>772</v>
      </c>
      <c r="B52" s="256" t="s">
        <v>773</v>
      </c>
      <c r="C52" s="265" t="s">
        <v>774</v>
      </c>
      <c r="D52" s="256" t="s">
        <v>775</v>
      </c>
      <c r="E52" s="265" t="s">
        <v>776</v>
      </c>
      <c r="F52" s="256" t="s">
        <v>776</v>
      </c>
      <c r="G52" s="265" t="s">
        <v>414</v>
      </c>
      <c r="H52" s="256" t="s">
        <v>777</v>
      </c>
      <c r="I52" s="265" t="s">
        <v>778</v>
      </c>
      <c r="J52" s="261" t="s">
        <v>779</v>
      </c>
      <c r="K52" s="261" t="s">
        <v>780</v>
      </c>
    </row>
    <row r="53" spans="1:11" x14ac:dyDescent="0.2">
      <c r="A53" s="239" t="s">
        <v>781</v>
      </c>
      <c r="B53" s="256" t="s">
        <v>782</v>
      </c>
      <c r="C53" s="265" t="s">
        <v>783</v>
      </c>
      <c r="D53" s="256" t="s">
        <v>784</v>
      </c>
      <c r="E53" s="265" t="s">
        <v>785</v>
      </c>
      <c r="F53" s="256" t="s">
        <v>786</v>
      </c>
      <c r="G53" s="265" t="s">
        <v>702</v>
      </c>
      <c r="H53" s="256" t="s">
        <v>787</v>
      </c>
      <c r="I53" s="265" t="s">
        <v>788</v>
      </c>
      <c r="J53" s="261" t="s">
        <v>789</v>
      </c>
      <c r="K53" s="261" t="s">
        <v>790</v>
      </c>
    </row>
    <row r="54" spans="1:11" x14ac:dyDescent="0.2">
      <c r="A54" s="239" t="s">
        <v>791</v>
      </c>
      <c r="B54" s="256">
        <v>0</v>
      </c>
      <c r="C54" s="265">
        <v>0</v>
      </c>
      <c r="D54" s="256">
        <v>0</v>
      </c>
      <c r="E54" s="265">
        <v>0</v>
      </c>
      <c r="F54" s="256">
        <v>0</v>
      </c>
      <c r="G54" s="265">
        <v>0</v>
      </c>
      <c r="H54" s="256">
        <v>0</v>
      </c>
      <c r="I54" s="265">
        <v>0</v>
      </c>
      <c r="J54" s="261">
        <v>0</v>
      </c>
      <c r="K54" s="261" t="s">
        <v>479</v>
      </c>
    </row>
    <row r="55" spans="1:11" x14ac:dyDescent="0.2">
      <c r="A55" s="239" t="s">
        <v>792</v>
      </c>
      <c r="B55" s="256"/>
      <c r="C55" s="265"/>
      <c r="D55" s="256"/>
      <c r="E55" s="265"/>
      <c r="F55" s="256"/>
      <c r="G55" s="265"/>
      <c r="H55" s="256"/>
      <c r="I55" s="265"/>
      <c r="J55" s="261"/>
      <c r="K55" s="261"/>
    </row>
    <row r="56" spans="1:11" x14ac:dyDescent="0.2">
      <c r="A56" s="239" t="s">
        <v>793</v>
      </c>
      <c r="B56" s="256" t="s">
        <v>794</v>
      </c>
      <c r="C56" s="265" t="s">
        <v>795</v>
      </c>
      <c r="D56" s="256" t="s">
        <v>796</v>
      </c>
      <c r="E56" s="265" t="s">
        <v>797</v>
      </c>
      <c r="F56" s="256" t="s">
        <v>798</v>
      </c>
      <c r="G56" s="265" t="s">
        <v>799</v>
      </c>
      <c r="H56" s="256" t="s">
        <v>800</v>
      </c>
      <c r="I56" s="265" t="s">
        <v>801</v>
      </c>
      <c r="J56" s="261" t="s">
        <v>802</v>
      </c>
      <c r="K56" s="261" t="s">
        <v>803</v>
      </c>
    </row>
    <row r="57" spans="1:11" x14ac:dyDescent="0.2">
      <c r="A57" s="239" t="s">
        <v>804</v>
      </c>
      <c r="B57" s="256"/>
      <c r="C57" s="265"/>
      <c r="D57" s="256"/>
      <c r="E57" s="265"/>
      <c r="F57" s="256"/>
      <c r="G57" s="265"/>
      <c r="H57" s="256"/>
      <c r="I57" s="265"/>
      <c r="J57" s="261"/>
      <c r="K57" s="261"/>
    </row>
    <row r="58" spans="1:11" x14ac:dyDescent="0.2">
      <c r="A58" s="240" t="s">
        <v>805</v>
      </c>
      <c r="B58" s="260" t="s">
        <v>806</v>
      </c>
      <c r="C58" s="266" t="s">
        <v>807</v>
      </c>
      <c r="D58" s="260" t="s">
        <v>808</v>
      </c>
      <c r="E58" s="266" t="s">
        <v>809</v>
      </c>
      <c r="F58" s="260" t="s">
        <v>810</v>
      </c>
      <c r="G58" s="266" t="s">
        <v>666</v>
      </c>
      <c r="H58" s="260" t="s">
        <v>811</v>
      </c>
      <c r="I58" s="266" t="s">
        <v>812</v>
      </c>
      <c r="J58" s="262" t="s">
        <v>813</v>
      </c>
      <c r="K58" s="262" t="s">
        <v>814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4"/>
  <sheetViews>
    <sheetView zoomScale="70" zoomScaleNormal="70" zoomScalePageLayoutView="70" workbookViewId="0">
      <selection activeCell="B16" sqref="B16"/>
    </sheetView>
  </sheetViews>
  <sheetFormatPr baseColWidth="10" defaultColWidth="11" defaultRowHeight="16" x14ac:dyDescent="0.2"/>
  <cols>
    <col min="1" max="1" width="40" bestFit="1" customWidth="1"/>
  </cols>
  <sheetData>
    <row r="1" spans="1:11" ht="31" customHeight="1" x14ac:dyDescent="0.25">
      <c r="A1" s="255" t="s">
        <v>1073</v>
      </c>
      <c r="B1" s="248"/>
      <c r="C1" s="248"/>
      <c r="D1" s="248"/>
      <c r="E1" s="248"/>
      <c r="F1" s="248"/>
      <c r="G1" s="248"/>
      <c r="H1" s="248"/>
      <c r="I1" s="248"/>
      <c r="J1" s="248"/>
      <c r="K1" s="257"/>
    </row>
    <row r="2" spans="1:11" x14ac:dyDescent="0.2">
      <c r="A2" s="214" t="s">
        <v>816</v>
      </c>
      <c r="B2" s="198" t="s">
        <v>169</v>
      </c>
      <c r="C2" s="15" t="s">
        <v>170</v>
      </c>
      <c r="D2" s="199" t="s">
        <v>171</v>
      </c>
      <c r="E2" s="15" t="s">
        <v>172</v>
      </c>
      <c r="F2" s="199" t="s">
        <v>173</v>
      </c>
      <c r="G2" s="15" t="s">
        <v>174</v>
      </c>
      <c r="H2" s="199" t="s">
        <v>175</v>
      </c>
      <c r="I2" s="15" t="s">
        <v>176</v>
      </c>
      <c r="J2" s="15" t="s">
        <v>177</v>
      </c>
      <c r="K2" s="151" t="s">
        <v>178</v>
      </c>
    </row>
    <row r="3" spans="1:11" x14ac:dyDescent="0.2">
      <c r="A3" s="214" t="s">
        <v>126</v>
      </c>
      <c r="B3" s="18" t="s">
        <v>298</v>
      </c>
      <c r="C3" s="17" t="s">
        <v>299</v>
      </c>
      <c r="D3" s="12" t="s">
        <v>316</v>
      </c>
      <c r="E3" s="17" t="s">
        <v>301</v>
      </c>
      <c r="F3" s="12" t="s">
        <v>317</v>
      </c>
      <c r="G3" s="17" t="s">
        <v>318</v>
      </c>
      <c r="H3" s="12" t="s">
        <v>319</v>
      </c>
      <c r="I3" s="17" t="s">
        <v>320</v>
      </c>
      <c r="J3" s="17" t="s">
        <v>306</v>
      </c>
      <c r="K3" s="97" t="s">
        <v>307</v>
      </c>
    </row>
    <row r="4" spans="1:11" x14ac:dyDescent="0.2">
      <c r="A4" s="214" t="s">
        <v>817</v>
      </c>
      <c r="B4" s="18"/>
      <c r="C4" s="17"/>
      <c r="D4" s="12"/>
      <c r="E4" s="17"/>
      <c r="F4" s="12"/>
      <c r="G4" s="17" t="s">
        <v>818</v>
      </c>
      <c r="H4" s="12"/>
      <c r="I4" s="17"/>
      <c r="J4" s="17"/>
      <c r="K4" s="97"/>
    </row>
    <row r="5" spans="1:11" x14ac:dyDescent="0.2">
      <c r="A5" s="214" t="s">
        <v>819</v>
      </c>
      <c r="B5" s="18"/>
      <c r="C5" s="17"/>
      <c r="D5" s="12"/>
      <c r="E5" s="17"/>
      <c r="F5" s="12"/>
      <c r="G5" s="17"/>
      <c r="H5" s="12">
        <v>0</v>
      </c>
      <c r="I5" s="17">
        <v>0</v>
      </c>
      <c r="J5" s="17"/>
      <c r="K5" s="97"/>
    </row>
    <row r="6" spans="1:11" x14ac:dyDescent="0.2">
      <c r="A6" s="214" t="s">
        <v>820</v>
      </c>
      <c r="B6" s="18"/>
      <c r="C6" s="17"/>
      <c r="D6" s="12"/>
      <c r="E6" s="17"/>
      <c r="F6" s="12"/>
      <c r="G6" s="17"/>
      <c r="H6" s="12">
        <v>0</v>
      </c>
      <c r="I6" s="17">
        <v>0</v>
      </c>
      <c r="J6" s="17"/>
      <c r="K6" s="97"/>
    </row>
    <row r="7" spans="1:11" x14ac:dyDescent="0.2">
      <c r="A7" s="214" t="s">
        <v>821</v>
      </c>
      <c r="B7" s="18"/>
      <c r="C7" s="17"/>
      <c r="D7" s="12"/>
      <c r="E7" s="17"/>
      <c r="F7" s="12"/>
      <c r="G7" s="17"/>
      <c r="H7" s="12"/>
      <c r="I7" s="17" t="s">
        <v>822</v>
      </c>
      <c r="J7" s="17" t="s">
        <v>823</v>
      </c>
      <c r="K7" s="97" t="s">
        <v>824</v>
      </c>
    </row>
    <row r="8" spans="1:11" x14ac:dyDescent="0.2">
      <c r="A8" s="214" t="s">
        <v>825</v>
      </c>
      <c r="B8" s="18" t="s">
        <v>342</v>
      </c>
      <c r="C8" s="17" t="s">
        <v>343</v>
      </c>
      <c r="D8" s="12" t="s">
        <v>344</v>
      </c>
      <c r="E8" s="17" t="s">
        <v>345</v>
      </c>
      <c r="F8" s="12" t="s">
        <v>346</v>
      </c>
      <c r="G8" s="17" t="s">
        <v>347</v>
      </c>
      <c r="H8" s="12" t="s">
        <v>348</v>
      </c>
      <c r="I8" s="17" t="s">
        <v>349</v>
      </c>
      <c r="J8" s="17" t="s">
        <v>350</v>
      </c>
      <c r="K8" s="97" t="s">
        <v>351</v>
      </c>
    </row>
    <row r="9" spans="1:11" x14ac:dyDescent="0.2">
      <c r="A9" s="214" t="s">
        <v>826</v>
      </c>
      <c r="B9" s="18" t="s">
        <v>342</v>
      </c>
      <c r="C9" s="17" t="s">
        <v>343</v>
      </c>
      <c r="D9" s="12" t="s">
        <v>344</v>
      </c>
      <c r="E9" s="17" t="s">
        <v>345</v>
      </c>
      <c r="F9" s="12" t="s">
        <v>346</v>
      </c>
      <c r="G9" s="17" t="s">
        <v>347</v>
      </c>
      <c r="H9" s="12" t="s">
        <v>348</v>
      </c>
      <c r="I9" s="17" t="s">
        <v>349</v>
      </c>
      <c r="J9" s="17" t="s">
        <v>350</v>
      </c>
      <c r="K9" s="97" t="s">
        <v>351</v>
      </c>
    </row>
    <row r="10" spans="1:11" x14ac:dyDescent="0.2">
      <c r="A10" s="214" t="s">
        <v>827</v>
      </c>
      <c r="B10" s="18" t="s">
        <v>828</v>
      </c>
      <c r="C10" s="17" t="s">
        <v>829</v>
      </c>
      <c r="D10" s="12" t="s">
        <v>830</v>
      </c>
      <c r="E10" s="17" t="s">
        <v>831</v>
      </c>
      <c r="F10" s="12" t="s">
        <v>832</v>
      </c>
      <c r="G10" s="17" t="s">
        <v>833</v>
      </c>
      <c r="H10" s="12" t="s">
        <v>834</v>
      </c>
      <c r="I10" s="17" t="s">
        <v>835</v>
      </c>
      <c r="J10" s="17" t="s">
        <v>836</v>
      </c>
      <c r="K10" s="97" t="s">
        <v>837</v>
      </c>
    </row>
    <row r="11" spans="1:11" x14ac:dyDescent="0.2">
      <c r="A11" s="214" t="s">
        <v>838</v>
      </c>
      <c r="B11" s="18"/>
      <c r="C11" s="17" t="s">
        <v>839</v>
      </c>
      <c r="D11" s="12" t="s">
        <v>840</v>
      </c>
      <c r="E11" s="17">
        <v>0</v>
      </c>
      <c r="F11" s="12">
        <v>0</v>
      </c>
      <c r="G11" s="17"/>
      <c r="H11" s="12"/>
      <c r="I11" s="17"/>
      <c r="J11" s="17"/>
      <c r="K11" s="97"/>
    </row>
    <row r="12" spans="1:11" x14ac:dyDescent="0.2">
      <c r="A12" s="214" t="s">
        <v>841</v>
      </c>
      <c r="B12" s="18" t="s">
        <v>842</v>
      </c>
      <c r="C12" s="17" t="s">
        <v>824</v>
      </c>
      <c r="D12" s="12" t="s">
        <v>843</v>
      </c>
      <c r="E12" s="17" t="s">
        <v>844</v>
      </c>
      <c r="F12" s="12" t="s">
        <v>845</v>
      </c>
      <c r="G12" s="17" t="s">
        <v>846</v>
      </c>
      <c r="H12" s="12" t="s">
        <v>847</v>
      </c>
      <c r="I12" s="17" t="s">
        <v>848</v>
      </c>
      <c r="J12" s="17" t="s">
        <v>849</v>
      </c>
      <c r="K12" s="97" t="s">
        <v>508</v>
      </c>
    </row>
    <row r="13" spans="1:11" x14ac:dyDescent="0.2">
      <c r="A13" s="214" t="s">
        <v>850</v>
      </c>
      <c r="B13" s="18"/>
      <c r="C13" s="17"/>
      <c r="D13" s="12"/>
      <c r="E13" s="17"/>
      <c r="F13" s="12"/>
      <c r="G13" s="17"/>
      <c r="H13" s="12"/>
      <c r="I13" s="17"/>
      <c r="J13" s="17" t="s">
        <v>851</v>
      </c>
      <c r="K13" s="97" t="s">
        <v>852</v>
      </c>
    </row>
    <row r="14" spans="1:11" x14ac:dyDescent="0.2">
      <c r="A14" s="214" t="s">
        <v>853</v>
      </c>
      <c r="B14" s="18" t="s">
        <v>854</v>
      </c>
      <c r="C14" s="17" t="s">
        <v>855</v>
      </c>
      <c r="D14" s="12" t="s">
        <v>856</v>
      </c>
      <c r="E14" s="17" t="s">
        <v>857</v>
      </c>
      <c r="F14" s="12" t="s">
        <v>858</v>
      </c>
      <c r="G14" s="17" t="s">
        <v>859</v>
      </c>
      <c r="H14" s="12" t="s">
        <v>860</v>
      </c>
      <c r="I14" s="17" t="s">
        <v>861</v>
      </c>
      <c r="J14" s="17" t="s">
        <v>862</v>
      </c>
      <c r="K14" s="97" t="s">
        <v>863</v>
      </c>
    </row>
    <row r="15" spans="1:11" x14ac:dyDescent="0.2">
      <c r="A15" s="214" t="s">
        <v>864</v>
      </c>
      <c r="B15" s="18" t="s">
        <v>865</v>
      </c>
      <c r="C15" s="17" t="s">
        <v>866</v>
      </c>
      <c r="D15" s="12" t="s">
        <v>867</v>
      </c>
      <c r="E15" s="17" t="s">
        <v>868</v>
      </c>
      <c r="F15" s="12" t="s">
        <v>869</v>
      </c>
      <c r="G15" s="17" t="s">
        <v>870</v>
      </c>
      <c r="H15" s="12" t="s">
        <v>871</v>
      </c>
      <c r="I15" s="17" t="s">
        <v>872</v>
      </c>
      <c r="J15" s="17" t="s">
        <v>873</v>
      </c>
      <c r="K15" s="97" t="s">
        <v>874</v>
      </c>
    </row>
    <row r="16" spans="1:11" x14ac:dyDescent="0.2">
      <c r="A16" s="214" t="s">
        <v>875</v>
      </c>
      <c r="B16" s="18" t="s">
        <v>876</v>
      </c>
      <c r="C16" s="17" t="s">
        <v>877</v>
      </c>
      <c r="D16" s="12" t="s">
        <v>878</v>
      </c>
      <c r="E16" s="17" t="s">
        <v>879</v>
      </c>
      <c r="F16" s="12" t="s">
        <v>880</v>
      </c>
      <c r="G16" s="17" t="s">
        <v>881</v>
      </c>
      <c r="H16" s="12" t="s">
        <v>882</v>
      </c>
      <c r="I16" s="17" t="s">
        <v>883</v>
      </c>
      <c r="J16" s="17" t="s">
        <v>884</v>
      </c>
      <c r="K16" s="97" t="s">
        <v>885</v>
      </c>
    </row>
    <row r="17" spans="1:11" x14ac:dyDescent="0.2">
      <c r="A17" s="214" t="s">
        <v>886</v>
      </c>
      <c r="B17" s="18" t="s">
        <v>887</v>
      </c>
      <c r="C17" s="17" t="s">
        <v>888</v>
      </c>
      <c r="D17" s="12" t="s">
        <v>889</v>
      </c>
      <c r="E17" s="17" t="s">
        <v>890</v>
      </c>
      <c r="F17" s="12" t="s">
        <v>891</v>
      </c>
      <c r="G17" s="17" t="s">
        <v>892</v>
      </c>
      <c r="H17" s="12" t="s">
        <v>229</v>
      </c>
      <c r="I17" s="17" t="s">
        <v>893</v>
      </c>
      <c r="J17" s="17" t="s">
        <v>894</v>
      </c>
      <c r="K17" s="97" t="s">
        <v>895</v>
      </c>
    </row>
    <row r="18" spans="1:11" x14ac:dyDescent="0.2">
      <c r="A18" s="214" t="s">
        <v>896</v>
      </c>
      <c r="B18" s="18"/>
      <c r="C18" s="17"/>
      <c r="D18" s="12"/>
      <c r="E18" s="17"/>
      <c r="F18" s="12"/>
      <c r="G18" s="17" t="s">
        <v>897</v>
      </c>
      <c r="H18" s="12"/>
      <c r="I18" s="17"/>
      <c r="J18" s="17"/>
      <c r="K18" s="97"/>
    </row>
    <row r="19" spans="1:11" x14ac:dyDescent="0.2">
      <c r="A19" s="214" t="s">
        <v>898</v>
      </c>
      <c r="B19" s="18" t="s">
        <v>345</v>
      </c>
      <c r="C19" s="17" t="s">
        <v>899</v>
      </c>
      <c r="D19" s="12" t="s">
        <v>900</v>
      </c>
      <c r="E19" s="17" t="s">
        <v>901</v>
      </c>
      <c r="F19" s="12" t="s">
        <v>510</v>
      </c>
      <c r="G19" s="17" t="s">
        <v>902</v>
      </c>
      <c r="H19" s="12" t="s">
        <v>903</v>
      </c>
      <c r="I19" s="17" t="s">
        <v>904</v>
      </c>
      <c r="J19" s="17" t="s">
        <v>905</v>
      </c>
      <c r="K19" s="97" t="s">
        <v>218</v>
      </c>
    </row>
    <row r="20" spans="1:11" x14ac:dyDescent="0.2">
      <c r="A20" s="214" t="s">
        <v>906</v>
      </c>
      <c r="B20" s="18" t="s">
        <v>907</v>
      </c>
      <c r="C20" s="17" t="s">
        <v>908</v>
      </c>
      <c r="D20" s="12" t="s">
        <v>909</v>
      </c>
      <c r="E20" s="17" t="s">
        <v>910</v>
      </c>
      <c r="F20" s="12" t="s">
        <v>856</v>
      </c>
      <c r="G20" s="17" t="s">
        <v>911</v>
      </c>
      <c r="H20" s="12" t="s">
        <v>912</v>
      </c>
      <c r="I20" s="17" t="s">
        <v>913</v>
      </c>
      <c r="J20" s="17" t="s">
        <v>914</v>
      </c>
      <c r="K20" s="97" t="s">
        <v>915</v>
      </c>
    </row>
    <row r="21" spans="1:11" x14ac:dyDescent="0.2">
      <c r="A21" s="214" t="s">
        <v>916</v>
      </c>
      <c r="B21" s="18" t="s">
        <v>917</v>
      </c>
      <c r="C21" s="17" t="s">
        <v>918</v>
      </c>
      <c r="D21" s="12" t="s">
        <v>919</v>
      </c>
      <c r="E21" s="17" t="s">
        <v>920</v>
      </c>
      <c r="F21" s="12" t="s">
        <v>921</v>
      </c>
      <c r="G21" s="17" t="s">
        <v>922</v>
      </c>
      <c r="H21" s="12" t="s">
        <v>923</v>
      </c>
      <c r="I21" s="17" t="s">
        <v>924</v>
      </c>
      <c r="J21" s="17" t="s">
        <v>925</v>
      </c>
      <c r="K21" s="97" t="s">
        <v>926</v>
      </c>
    </row>
    <row r="22" spans="1:11" x14ac:dyDescent="0.2">
      <c r="A22" s="214" t="s">
        <v>927</v>
      </c>
      <c r="B22" s="18" t="s">
        <v>169</v>
      </c>
      <c r="C22" s="17" t="s">
        <v>170</v>
      </c>
      <c r="D22" s="12" t="s">
        <v>171</v>
      </c>
      <c r="E22" s="17" t="s">
        <v>172</v>
      </c>
      <c r="F22" s="12" t="s">
        <v>173</v>
      </c>
      <c r="G22" s="17" t="s">
        <v>174</v>
      </c>
      <c r="H22" s="12" t="s">
        <v>175</v>
      </c>
      <c r="I22" s="17" t="s">
        <v>176</v>
      </c>
      <c r="J22" s="17" t="s">
        <v>177</v>
      </c>
      <c r="K22" s="97" t="s">
        <v>178</v>
      </c>
    </row>
    <row r="23" spans="1:11" x14ac:dyDescent="0.2">
      <c r="A23" s="214" t="s">
        <v>928</v>
      </c>
      <c r="B23" s="18" t="s">
        <v>929</v>
      </c>
      <c r="C23" s="17" t="s">
        <v>930</v>
      </c>
      <c r="D23" s="12" t="s">
        <v>931</v>
      </c>
      <c r="E23" s="17" t="s">
        <v>932</v>
      </c>
      <c r="F23" s="12" t="s">
        <v>933</v>
      </c>
      <c r="G23" s="17" t="s">
        <v>934</v>
      </c>
      <c r="H23" s="12" t="s">
        <v>935</v>
      </c>
      <c r="I23" s="17" t="s">
        <v>936</v>
      </c>
      <c r="J23" s="17" t="s">
        <v>937</v>
      </c>
      <c r="K23" s="97" t="s">
        <v>938</v>
      </c>
    </row>
    <row r="24" spans="1:11" x14ac:dyDescent="0.2">
      <c r="A24" s="214" t="s">
        <v>939</v>
      </c>
      <c r="B24" s="18"/>
      <c r="C24" s="17"/>
      <c r="D24" s="12"/>
      <c r="E24" s="17"/>
      <c r="F24" s="12"/>
      <c r="G24" s="17"/>
      <c r="H24" s="12"/>
      <c r="I24" s="17"/>
      <c r="J24" s="17"/>
      <c r="K24" s="97"/>
    </row>
    <row r="25" spans="1:11" x14ac:dyDescent="0.2">
      <c r="A25" s="214" t="s">
        <v>940</v>
      </c>
      <c r="B25" s="18"/>
      <c r="C25" s="17"/>
      <c r="D25" s="12"/>
      <c r="E25" s="17"/>
      <c r="F25" s="12"/>
      <c r="G25" s="17"/>
      <c r="H25" s="12" t="s">
        <v>941</v>
      </c>
      <c r="I25" s="17" t="s">
        <v>936</v>
      </c>
      <c r="J25" s="17" t="s">
        <v>937</v>
      </c>
      <c r="K25" s="97" t="s">
        <v>938</v>
      </c>
    </row>
    <row r="26" spans="1:11" x14ac:dyDescent="0.2">
      <c r="A26" s="214" t="s">
        <v>942</v>
      </c>
      <c r="B26" s="18" t="s">
        <v>943</v>
      </c>
      <c r="C26" s="17" t="s">
        <v>944</v>
      </c>
      <c r="D26" s="12" t="s">
        <v>945</v>
      </c>
      <c r="E26" s="17" t="s">
        <v>946</v>
      </c>
      <c r="F26" s="12" t="s">
        <v>947</v>
      </c>
      <c r="G26" s="17" t="s">
        <v>948</v>
      </c>
      <c r="H26" s="12" t="s">
        <v>949</v>
      </c>
      <c r="I26" s="17" t="s">
        <v>950</v>
      </c>
      <c r="J26" s="17" t="s">
        <v>223</v>
      </c>
      <c r="K26" s="97" t="s">
        <v>932</v>
      </c>
    </row>
    <row r="27" spans="1:11" x14ac:dyDescent="0.2">
      <c r="A27" s="214" t="s">
        <v>951</v>
      </c>
      <c r="B27" s="18"/>
      <c r="C27" s="17"/>
      <c r="D27" s="12"/>
      <c r="E27" s="17"/>
      <c r="F27" s="12"/>
      <c r="G27" s="17" t="s">
        <v>952</v>
      </c>
      <c r="H27" s="12" t="s">
        <v>953</v>
      </c>
      <c r="I27" s="17" t="s">
        <v>954</v>
      </c>
      <c r="J27" s="17" t="s">
        <v>955</v>
      </c>
      <c r="K27" s="97" t="s">
        <v>955</v>
      </c>
    </row>
    <row r="28" spans="1:11" x14ac:dyDescent="0.2">
      <c r="A28" s="214" t="s">
        <v>956</v>
      </c>
      <c r="B28" s="18" t="s">
        <v>957</v>
      </c>
      <c r="C28" s="17" t="s">
        <v>958</v>
      </c>
      <c r="D28" s="12" t="s">
        <v>959</v>
      </c>
      <c r="E28" s="17" t="s">
        <v>960</v>
      </c>
      <c r="F28" s="12" t="s">
        <v>961</v>
      </c>
      <c r="G28" s="17" t="s">
        <v>962</v>
      </c>
      <c r="H28" s="12" t="s">
        <v>955</v>
      </c>
      <c r="I28" s="17" t="s">
        <v>963</v>
      </c>
      <c r="J28" s="17" t="s">
        <v>960</v>
      </c>
      <c r="K28" s="97" t="s">
        <v>964</v>
      </c>
    </row>
    <row r="29" spans="1:11" x14ac:dyDescent="0.2">
      <c r="A29" s="214" t="s">
        <v>965</v>
      </c>
      <c r="B29" s="18" t="s">
        <v>966</v>
      </c>
      <c r="C29" s="17" t="s">
        <v>967</v>
      </c>
      <c r="D29" s="12" t="s">
        <v>968</v>
      </c>
      <c r="E29" s="17" t="s">
        <v>969</v>
      </c>
      <c r="F29" s="12" t="s">
        <v>970</v>
      </c>
      <c r="G29" s="17" t="s">
        <v>971</v>
      </c>
      <c r="H29" s="12" t="s">
        <v>972</v>
      </c>
      <c r="I29" s="17" t="s">
        <v>973</v>
      </c>
      <c r="J29" s="17" t="s">
        <v>974</v>
      </c>
      <c r="K29" s="97" t="s">
        <v>975</v>
      </c>
    </row>
    <row r="30" spans="1:11" x14ac:dyDescent="0.2">
      <c r="A30" s="214" t="s">
        <v>976</v>
      </c>
      <c r="B30" s="18" t="s">
        <v>169</v>
      </c>
      <c r="C30" s="17" t="s">
        <v>170</v>
      </c>
      <c r="D30" s="12" t="s">
        <v>171</v>
      </c>
      <c r="E30" s="17" t="s">
        <v>172</v>
      </c>
      <c r="F30" s="12" t="s">
        <v>173</v>
      </c>
      <c r="G30" s="17" t="s">
        <v>174</v>
      </c>
      <c r="H30" s="12" t="s">
        <v>175</v>
      </c>
      <c r="I30" s="17" t="s">
        <v>176</v>
      </c>
      <c r="J30" s="17" t="s">
        <v>177</v>
      </c>
      <c r="K30" s="97" t="s">
        <v>178</v>
      </c>
    </row>
    <row r="31" spans="1:11" x14ac:dyDescent="0.2">
      <c r="A31" s="214" t="s">
        <v>977</v>
      </c>
      <c r="B31" s="18" t="s">
        <v>978</v>
      </c>
      <c r="C31" s="17"/>
      <c r="D31" s="12" t="s">
        <v>979</v>
      </c>
      <c r="E31" s="17">
        <v>0</v>
      </c>
      <c r="F31" s="12" t="s">
        <v>980</v>
      </c>
      <c r="G31" s="17">
        <v>0</v>
      </c>
      <c r="H31" s="12" t="s">
        <v>981</v>
      </c>
      <c r="I31" s="17" t="s">
        <v>982</v>
      </c>
      <c r="J31" s="17" t="s">
        <v>983</v>
      </c>
      <c r="K31" s="97" t="s">
        <v>984</v>
      </c>
    </row>
    <row r="32" spans="1:11" x14ac:dyDescent="0.2">
      <c r="A32" s="214" t="s">
        <v>985</v>
      </c>
      <c r="B32" s="18">
        <v>0</v>
      </c>
      <c r="C32" s="17"/>
      <c r="D32" s="12"/>
      <c r="E32" s="17"/>
      <c r="F32" s="12"/>
      <c r="G32" s="17"/>
      <c r="H32" s="12"/>
      <c r="I32" s="17"/>
      <c r="J32" s="17"/>
      <c r="K32" s="97"/>
    </row>
    <row r="33" spans="1:11" x14ac:dyDescent="0.2">
      <c r="A33" s="214" t="s">
        <v>986</v>
      </c>
      <c r="B33" s="18" t="s">
        <v>978</v>
      </c>
      <c r="C33" s="17"/>
      <c r="D33" s="12" t="s">
        <v>979</v>
      </c>
      <c r="E33" s="17">
        <v>0</v>
      </c>
      <c r="F33" s="12" t="s">
        <v>980</v>
      </c>
      <c r="G33" s="17">
        <v>0</v>
      </c>
      <c r="H33" s="12" t="s">
        <v>981</v>
      </c>
      <c r="I33" s="17" t="s">
        <v>982</v>
      </c>
      <c r="J33" s="17" t="s">
        <v>983</v>
      </c>
      <c r="K33" s="97" t="s">
        <v>984</v>
      </c>
    </row>
    <row r="34" spans="1:11" x14ac:dyDescent="0.2">
      <c r="A34" s="214" t="s">
        <v>987</v>
      </c>
      <c r="B34" s="18"/>
      <c r="C34" s="17"/>
      <c r="D34" s="12"/>
      <c r="E34" s="17"/>
      <c r="F34" s="12"/>
      <c r="G34" s="17"/>
      <c r="H34" s="12"/>
      <c r="I34" s="17"/>
      <c r="J34" s="17" t="s">
        <v>244</v>
      </c>
      <c r="K34" s="97" t="s">
        <v>988</v>
      </c>
    </row>
    <row r="35" spans="1:11" x14ac:dyDescent="0.2">
      <c r="A35" s="214" t="s">
        <v>989</v>
      </c>
      <c r="B35" s="18" t="s">
        <v>990</v>
      </c>
      <c r="C35" s="17" t="s">
        <v>991</v>
      </c>
      <c r="D35" s="12" t="s">
        <v>992</v>
      </c>
      <c r="E35" s="17" t="s">
        <v>993</v>
      </c>
      <c r="F35" s="12" t="s">
        <v>994</v>
      </c>
      <c r="G35" s="17" t="s">
        <v>995</v>
      </c>
      <c r="H35" s="12" t="s">
        <v>802</v>
      </c>
      <c r="I35" s="17" t="s">
        <v>996</v>
      </c>
      <c r="J35" s="17" t="s">
        <v>997</v>
      </c>
      <c r="K35" s="97" t="s">
        <v>998</v>
      </c>
    </row>
    <row r="36" spans="1:11" x14ac:dyDescent="0.2">
      <c r="A36" s="214" t="s">
        <v>999</v>
      </c>
      <c r="B36" s="18" t="s">
        <v>990</v>
      </c>
      <c r="C36" s="17" t="s">
        <v>991</v>
      </c>
      <c r="D36" s="12" t="s">
        <v>992</v>
      </c>
      <c r="E36" s="17" t="s">
        <v>993</v>
      </c>
      <c r="F36" s="12" t="s">
        <v>994</v>
      </c>
      <c r="G36" s="17" t="s">
        <v>995</v>
      </c>
      <c r="H36" s="12" t="s">
        <v>802</v>
      </c>
      <c r="I36" s="17" t="s">
        <v>996</v>
      </c>
      <c r="J36" s="17" t="s">
        <v>1000</v>
      </c>
      <c r="K36" s="97" t="s">
        <v>1001</v>
      </c>
    </row>
    <row r="37" spans="1:11" x14ac:dyDescent="0.2">
      <c r="A37" s="214" t="s">
        <v>1002</v>
      </c>
      <c r="B37" s="18"/>
      <c r="C37" s="17"/>
      <c r="D37" s="12"/>
      <c r="E37" s="17"/>
      <c r="F37" s="12"/>
      <c r="G37" s="17"/>
      <c r="H37" s="12"/>
      <c r="I37" s="17"/>
      <c r="J37" s="17"/>
      <c r="K37" s="97"/>
    </row>
    <row r="38" spans="1:11" x14ac:dyDescent="0.2">
      <c r="A38" s="214" t="s">
        <v>1003</v>
      </c>
      <c r="B38" s="18"/>
      <c r="C38" s="17"/>
      <c r="D38" s="12"/>
      <c r="E38" s="17"/>
      <c r="F38" s="12"/>
      <c r="G38" s="17"/>
      <c r="H38" s="12"/>
      <c r="I38" s="17"/>
      <c r="J38" s="17"/>
      <c r="K38" s="97"/>
    </row>
    <row r="39" spans="1:11" x14ac:dyDescent="0.2">
      <c r="A39" s="214" t="s">
        <v>1004</v>
      </c>
      <c r="B39" s="18"/>
      <c r="C39" s="17"/>
      <c r="D39" s="12"/>
      <c r="E39" s="17"/>
      <c r="F39" s="12"/>
      <c r="G39" s="17" t="s">
        <v>1005</v>
      </c>
      <c r="H39" s="12" t="s">
        <v>1006</v>
      </c>
      <c r="I39" s="17" t="s">
        <v>1007</v>
      </c>
      <c r="J39" s="17" t="s">
        <v>1008</v>
      </c>
      <c r="K39" s="97" t="s">
        <v>1009</v>
      </c>
    </row>
    <row r="40" spans="1:11" x14ac:dyDescent="0.2">
      <c r="A40" s="214" t="s">
        <v>1010</v>
      </c>
      <c r="B40" s="18"/>
      <c r="C40" s="17"/>
      <c r="D40" s="12"/>
      <c r="E40" s="17"/>
      <c r="F40" s="12"/>
      <c r="G40" s="17"/>
      <c r="H40" s="12"/>
      <c r="I40" s="17"/>
      <c r="J40" s="17"/>
      <c r="K40" s="97"/>
    </row>
    <row r="41" spans="1:11" x14ac:dyDescent="0.2">
      <c r="A41" s="214" t="s">
        <v>1011</v>
      </c>
      <c r="B41" s="18" t="s">
        <v>1012</v>
      </c>
      <c r="C41" s="17" t="s">
        <v>1013</v>
      </c>
      <c r="D41" s="12" t="s">
        <v>1014</v>
      </c>
      <c r="E41" s="17" t="s">
        <v>1015</v>
      </c>
      <c r="F41" s="12" t="s">
        <v>1016</v>
      </c>
      <c r="G41" s="17" t="s">
        <v>1005</v>
      </c>
      <c r="H41" s="12" t="s">
        <v>1006</v>
      </c>
      <c r="I41" s="17" t="s">
        <v>1007</v>
      </c>
      <c r="J41" s="17" t="s">
        <v>1008</v>
      </c>
      <c r="K41" s="97" t="s">
        <v>1009</v>
      </c>
    </row>
    <row r="42" spans="1:11" x14ac:dyDescent="0.2">
      <c r="A42" s="214" t="s">
        <v>1017</v>
      </c>
      <c r="B42" s="18" t="s">
        <v>907</v>
      </c>
      <c r="C42" s="17" t="s">
        <v>248</v>
      </c>
      <c r="D42" s="12" t="s">
        <v>1018</v>
      </c>
      <c r="E42" s="17" t="s">
        <v>1019</v>
      </c>
      <c r="F42" s="12" t="s">
        <v>1020</v>
      </c>
      <c r="G42" s="17" t="s">
        <v>1021</v>
      </c>
      <c r="H42" s="12"/>
      <c r="I42" s="17"/>
      <c r="J42" s="17"/>
      <c r="K42" s="97"/>
    </row>
    <row r="43" spans="1:11" x14ac:dyDescent="0.2">
      <c r="A43" s="214" t="s">
        <v>1022</v>
      </c>
      <c r="B43" s="18" t="s">
        <v>1023</v>
      </c>
      <c r="C43" s="17" t="s">
        <v>1024</v>
      </c>
      <c r="D43" s="12" t="s">
        <v>1025</v>
      </c>
      <c r="E43" s="17" t="s">
        <v>1026</v>
      </c>
      <c r="F43" s="12" t="s">
        <v>1027</v>
      </c>
      <c r="G43" s="17" t="s">
        <v>1028</v>
      </c>
      <c r="H43" s="12" t="s">
        <v>1029</v>
      </c>
      <c r="I43" s="17" t="s">
        <v>1030</v>
      </c>
      <c r="J43" s="17" t="s">
        <v>1031</v>
      </c>
      <c r="K43" s="97" t="s">
        <v>1032</v>
      </c>
    </row>
    <row r="44" spans="1:11" x14ac:dyDescent="0.2">
      <c r="A44" s="214" t="s">
        <v>1033</v>
      </c>
      <c r="B44" s="18" t="s">
        <v>1034</v>
      </c>
      <c r="C44" s="17" t="s">
        <v>1035</v>
      </c>
      <c r="D44" s="12" t="s">
        <v>1036</v>
      </c>
      <c r="E44" s="17" t="s">
        <v>1037</v>
      </c>
      <c r="F44" s="12" t="s">
        <v>1038</v>
      </c>
      <c r="G44" s="17" t="s">
        <v>1039</v>
      </c>
      <c r="H44" s="12" t="s">
        <v>1040</v>
      </c>
      <c r="I44" s="17" t="s">
        <v>1041</v>
      </c>
      <c r="J44" s="17" t="s">
        <v>1042</v>
      </c>
      <c r="K44" s="97" t="s">
        <v>1043</v>
      </c>
    </row>
    <row r="45" spans="1:11" x14ac:dyDescent="0.2">
      <c r="A45" s="214" t="s">
        <v>1044</v>
      </c>
      <c r="B45" s="18" t="s">
        <v>169</v>
      </c>
      <c r="C45" s="17" t="s">
        <v>170</v>
      </c>
      <c r="D45" s="12" t="s">
        <v>171</v>
      </c>
      <c r="E45" s="17" t="s">
        <v>172</v>
      </c>
      <c r="F45" s="12" t="s">
        <v>173</v>
      </c>
      <c r="G45" s="17" t="s">
        <v>174</v>
      </c>
      <c r="H45" s="12" t="s">
        <v>175</v>
      </c>
      <c r="I45" s="17" t="s">
        <v>176</v>
      </c>
      <c r="J45" s="17" t="s">
        <v>177</v>
      </c>
      <c r="K45" s="97" t="s">
        <v>178</v>
      </c>
    </row>
    <row r="46" spans="1:11" x14ac:dyDescent="0.2">
      <c r="A46" s="214" t="s">
        <v>1045</v>
      </c>
      <c r="B46" s="18" t="s">
        <v>403</v>
      </c>
      <c r="C46" s="17" t="s">
        <v>404</v>
      </c>
      <c r="D46" s="12" t="s">
        <v>405</v>
      </c>
      <c r="E46" s="17" t="s">
        <v>406</v>
      </c>
      <c r="F46" s="12" t="s">
        <v>407</v>
      </c>
      <c r="G46" s="17" t="s">
        <v>408</v>
      </c>
      <c r="H46" s="12" t="s">
        <v>409</v>
      </c>
      <c r="I46" s="17" t="s">
        <v>410</v>
      </c>
      <c r="J46" s="17" t="s">
        <v>411</v>
      </c>
      <c r="K46" s="97" t="s">
        <v>1046</v>
      </c>
    </row>
    <row r="47" spans="1:11" x14ac:dyDescent="0.2">
      <c r="A47" s="214" t="s">
        <v>1047</v>
      </c>
      <c r="B47" s="18" t="s">
        <v>1048</v>
      </c>
      <c r="C47" s="17" t="s">
        <v>1049</v>
      </c>
      <c r="D47" s="12" t="s">
        <v>492</v>
      </c>
      <c r="E47" s="17" t="s">
        <v>1050</v>
      </c>
      <c r="F47" s="12" t="s">
        <v>1051</v>
      </c>
      <c r="G47" s="17" t="s">
        <v>1052</v>
      </c>
      <c r="H47" s="12" t="s">
        <v>1053</v>
      </c>
      <c r="I47" s="17" t="s">
        <v>1054</v>
      </c>
      <c r="J47" s="17" t="s">
        <v>1055</v>
      </c>
      <c r="K47" s="97" t="s">
        <v>260</v>
      </c>
    </row>
    <row r="48" spans="1:11" x14ac:dyDescent="0.2">
      <c r="A48" s="214" t="s">
        <v>1056</v>
      </c>
      <c r="B48" s="18"/>
      <c r="C48" s="17"/>
      <c r="D48" s="12"/>
      <c r="E48" s="17"/>
      <c r="F48" s="12"/>
      <c r="G48" s="17"/>
      <c r="H48" s="12"/>
      <c r="I48" s="17" t="s">
        <v>1057</v>
      </c>
      <c r="J48" s="17" t="s">
        <v>870</v>
      </c>
      <c r="K48" s="97" t="s">
        <v>1058</v>
      </c>
    </row>
    <row r="49" spans="1:11" x14ac:dyDescent="0.2">
      <c r="A49" s="214" t="s">
        <v>1059</v>
      </c>
      <c r="B49" s="18" t="s">
        <v>402</v>
      </c>
      <c r="C49" s="17" t="s">
        <v>403</v>
      </c>
      <c r="D49" s="12" t="s">
        <v>404</v>
      </c>
      <c r="E49" s="17" t="s">
        <v>405</v>
      </c>
      <c r="F49" s="12" t="s">
        <v>406</v>
      </c>
      <c r="G49" s="17" t="s">
        <v>407</v>
      </c>
      <c r="H49" s="12" t="s">
        <v>408</v>
      </c>
      <c r="I49" s="17" t="s">
        <v>409</v>
      </c>
      <c r="J49" s="17" t="s">
        <v>410</v>
      </c>
      <c r="K49" s="97" t="s">
        <v>411</v>
      </c>
    </row>
    <row r="50" spans="1:11" x14ac:dyDescent="0.2">
      <c r="A50" s="214" t="s">
        <v>1060</v>
      </c>
      <c r="B50" s="18" t="s">
        <v>169</v>
      </c>
      <c r="C50" s="17" t="s">
        <v>170</v>
      </c>
      <c r="D50" s="12" t="s">
        <v>171</v>
      </c>
      <c r="E50" s="17" t="s">
        <v>172</v>
      </c>
      <c r="F50" s="12" t="s">
        <v>173</v>
      </c>
      <c r="G50" s="17" t="s">
        <v>174</v>
      </c>
      <c r="H50" s="12" t="s">
        <v>175</v>
      </c>
      <c r="I50" s="17" t="s">
        <v>176</v>
      </c>
      <c r="J50" s="17" t="s">
        <v>177</v>
      </c>
      <c r="K50" s="97" t="s">
        <v>178</v>
      </c>
    </row>
    <row r="51" spans="1:11" x14ac:dyDescent="0.2">
      <c r="A51" s="214" t="s">
        <v>1061</v>
      </c>
      <c r="B51" s="18"/>
      <c r="C51" s="17"/>
      <c r="D51" s="12"/>
      <c r="E51" s="17"/>
      <c r="F51" s="12"/>
      <c r="G51" s="17"/>
      <c r="H51" s="12"/>
      <c r="I51" s="17"/>
      <c r="J51" s="17" t="s">
        <v>244</v>
      </c>
      <c r="K51" s="97" t="s">
        <v>988</v>
      </c>
    </row>
    <row r="52" spans="1:11" x14ac:dyDescent="0.2">
      <c r="A52" s="214" t="s">
        <v>1062</v>
      </c>
      <c r="B52" s="18" t="s">
        <v>1063</v>
      </c>
      <c r="C52" s="17"/>
      <c r="D52" s="12"/>
      <c r="E52" s="17"/>
      <c r="F52" s="12" t="s">
        <v>1064</v>
      </c>
      <c r="G52" s="17">
        <v>0</v>
      </c>
      <c r="H52" s="12" t="s">
        <v>1065</v>
      </c>
      <c r="I52" s="17" t="s">
        <v>1066</v>
      </c>
      <c r="J52" s="17">
        <v>0</v>
      </c>
      <c r="K52" s="97">
        <v>0</v>
      </c>
    </row>
    <row r="53" spans="1:11" x14ac:dyDescent="0.2">
      <c r="A53" s="214" t="s">
        <v>1067</v>
      </c>
      <c r="B53" s="18" t="s">
        <v>1068</v>
      </c>
      <c r="C53" s="17"/>
      <c r="D53" s="12" t="s">
        <v>979</v>
      </c>
      <c r="E53" s="17">
        <v>0</v>
      </c>
      <c r="F53" s="12" t="s">
        <v>1069</v>
      </c>
      <c r="G53" s="17">
        <v>0</v>
      </c>
      <c r="H53" s="12" t="s">
        <v>1070</v>
      </c>
      <c r="I53" s="17" t="s">
        <v>1071</v>
      </c>
      <c r="J53" s="17" t="s">
        <v>983</v>
      </c>
      <c r="K53" s="97" t="s">
        <v>984</v>
      </c>
    </row>
    <row r="54" spans="1:11" x14ac:dyDescent="0.2">
      <c r="A54" s="240" t="s">
        <v>1072</v>
      </c>
      <c r="B54" s="27" t="s">
        <v>990</v>
      </c>
      <c r="C54" s="26" t="s">
        <v>991</v>
      </c>
      <c r="D54" s="8" t="s">
        <v>992</v>
      </c>
      <c r="E54" s="26" t="s">
        <v>993</v>
      </c>
      <c r="F54" s="8" t="s">
        <v>994</v>
      </c>
      <c r="G54" s="26" t="s">
        <v>995</v>
      </c>
      <c r="H54" s="8" t="s">
        <v>802</v>
      </c>
      <c r="I54" s="26" t="s">
        <v>996</v>
      </c>
      <c r="J54" s="26" t="s">
        <v>997</v>
      </c>
      <c r="K54" s="46" t="s">
        <v>998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workbookViewId="0">
      <selection activeCell="N55" sqref="N55"/>
    </sheetView>
  </sheetViews>
  <sheetFormatPr baseColWidth="10" defaultRowHeight="16" x14ac:dyDescent="0.2"/>
  <cols>
    <col min="1" max="16384" width="10.83203125" style="12"/>
  </cols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Comps</vt:lpstr>
      <vt:lpstr>DCF</vt:lpstr>
      <vt:lpstr>Sheet2</vt:lpstr>
      <vt:lpstr>Residual</vt:lpstr>
      <vt:lpstr>Valueline</vt:lpstr>
      <vt:lpstr>income Statement</vt:lpstr>
      <vt:lpstr>Balance Sheet</vt:lpstr>
      <vt:lpstr>Cash Flow</vt:lpstr>
      <vt:lpstr>Charts </vt:lpstr>
      <vt:lpstr>Sensitivity Analysis</vt:lpstr>
      <vt:lpstr>Football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Aileen Lincoln</dc:creator>
  <cp:keywords>Public</cp:keywords>
  <cp:lastModifiedBy>luis Davalos</cp:lastModifiedBy>
  <cp:lastPrinted>2016-04-26T14:40:48Z</cp:lastPrinted>
  <dcterms:created xsi:type="dcterms:W3CDTF">2016-04-21T11:44:30Z</dcterms:created>
  <dcterms:modified xsi:type="dcterms:W3CDTF">2018-06-10T18:44:48Z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29dc366b-44ad-4700-b4f5-1521c7a079de</vt:lpwstr>
  </property>
  <property fmtid="{D5CDD505-2E9C-101B-9397-08002B2CF9AE}" pid="3" name="TDDCSClassification">
    <vt:lpwstr>Public</vt:lpwstr>
  </property>
  <property fmtid="{D5CDD505-2E9C-101B-9397-08002B2CF9AE}" pid="4" name="kjhasxiQ">
    <vt:lpwstr>Public</vt:lpwstr>
  </property>
</Properties>
</file>