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uis Henrique\Desktop\"/>
    </mc:Choice>
  </mc:AlternateContent>
  <xr:revisionPtr revIDLastSave="0" documentId="13_ncr:1_{B165C9A2-9482-4EEB-9678-08F67C107BF4}" xr6:coauthVersionLast="47" xr6:coauthVersionMax="47" xr10:uidLastSave="{00000000-0000-0000-0000-000000000000}"/>
  <bookViews>
    <workbookView xWindow="-120" yWindow="-120" windowWidth="20730" windowHeight="11760" activeTab="2" xr2:uid="{8C68ED40-46B4-4AF8-A863-6AFF4A272699}"/>
  </bookViews>
  <sheets>
    <sheet name="Mercado Global de Carros" sheetId="1" r:id="rId1"/>
    <sheet name="CB_DATA_" sheetId="3" state="veryHidden" r:id="rId2"/>
    <sheet name="Tesla" sheetId="2" r:id="rId3"/>
  </sheets>
  <externalReferences>
    <externalReference r:id="rId4"/>
  </externalReferences>
  <definedNames>
    <definedName name="CB_00efc6faba7b4be5897bc8104f22a13a" localSheetId="2" hidden="1">Tesla!$B$55</definedName>
    <definedName name="CB_0fdf14473f184df7a513e1b6d2a63997" localSheetId="0" hidden="1">'Mercado Global de Carros'!$K$12</definedName>
    <definedName name="CB_1f248192541f4c01b9918a029488f4aa" localSheetId="0" hidden="1">'Mercado Global de Carros'!$K$17</definedName>
    <definedName name="CB_2f0a75dc183e4b19825d398d687981a6" localSheetId="0" hidden="1">'Mercado Global de Carros'!$K$10</definedName>
    <definedName name="CB_3241e2b6ac6840c49e81deb42f39f4da" localSheetId="1" hidden="1">#N/A</definedName>
    <definedName name="CB_3fdf37d6448341d4a3b9266ab8446538" localSheetId="2" hidden="1">Tesla!$B$1</definedName>
    <definedName name="CB_4996211ffb2c40dc9313def623f89d17" localSheetId="2" hidden="1">Tesla!$B$11</definedName>
    <definedName name="CB_6123a429278a4eda8222d19ef84e0ebb" localSheetId="0" hidden="1">'Mercado Global de Carros'!$K$23</definedName>
    <definedName name="CB_91ad00b447d24df48dfb273af8fca630" localSheetId="2" hidden="1">Tesla!$B$13</definedName>
    <definedName name="CB_91e9604680164eeb8942fb072cc4097f" localSheetId="0" hidden="1">'Mercado Global de Carros'!$K$9</definedName>
    <definedName name="CB_924a505112e24f739b1a5d75008c60ea" localSheetId="2" hidden="1">Tesla!$B$9</definedName>
    <definedName name="CB_Block_00000000000000000000000000000000" localSheetId="1" hidden="1">"'7.0.0.0"</definedName>
    <definedName name="CB_Block_00000000000000000000000000000000" localSheetId="0" hidden="1">"'7.0.0.0"</definedName>
    <definedName name="CB_Block_00000000000000000000000000000000" localSheetId="2" hidden="1">"'7.0.0.0"</definedName>
    <definedName name="CB_Block_00000000000000000000000000000001" localSheetId="1" hidden="1">"'637448022615633519"</definedName>
    <definedName name="CB_Block_00000000000000000000000000000001" localSheetId="0" hidden="1">"'637448022615851700"</definedName>
    <definedName name="CB_Block_00000000000000000000000000000001" localSheetId="2" hidden="1">"'637448022615544576"</definedName>
    <definedName name="CB_Block_00000000000000000000000000000003" localSheetId="1" hidden="1">"'11.1.5046.0"</definedName>
    <definedName name="CB_Block_00000000000000000000000000000003" localSheetId="0" hidden="1">"'11.1.5046.0"</definedName>
    <definedName name="CB_Block_00000000000000000000000000000003" localSheetId="2" hidden="1">"'11.1.5046.0"</definedName>
    <definedName name="CB_BlockExt_00000000000000000000000000000003" localSheetId="1" hidden="1">"'11.1.2.4.900"</definedName>
    <definedName name="CB_BlockExt_00000000000000000000000000000003" localSheetId="0" hidden="1">"'11.1.2.4.900"</definedName>
    <definedName name="CB_BlockExt_00000000000000000000000000000003" localSheetId="2" hidden="1">"'11.1.2.4.900"</definedName>
    <definedName name="CB_c83d5320335149e8b39ab393c0bcfc47" localSheetId="1" hidden="1">#N/A</definedName>
    <definedName name="CB_f1d1be9753a94354910a5f055d5201fb" localSheetId="0" hidden="1">'Mercado Global de Carros'!$K$26</definedName>
    <definedName name="CB_f28e8c6020904677b66acf384efe7ce8" localSheetId="0" hidden="1">'Mercado Global de Carros'!$K$24</definedName>
    <definedName name="CB_fac59e853158490bb176234bcda676e6" localSheetId="0" hidden="1">'Mercado Global de Carros'!$K$19</definedName>
    <definedName name="CBCR_0760971627db4349aa9c4e356b3f5fd1" localSheetId="0" hidden="1">'Mercado Global de Carros'!$K$10-0.07</definedName>
    <definedName name="CBCR_1163460319e648e98268ad96dc10137b" localSheetId="0" hidden="1">'Mercado Global de Carros'!$K$19</definedName>
    <definedName name="CBCR_212e0405891e40979925d657314c161a" localSheetId="0" hidden="1">'Mercado Global de Carros'!$K$10</definedName>
    <definedName name="CBCR_292dd2e4fef34560bf748c73fcf8463f" localSheetId="2" hidden="1">Tesla!$B$55</definedName>
    <definedName name="CBCR_368219d828c9466aac31ed676579c78a" localSheetId="0" hidden="1">'Mercado Global de Carros'!$K$12-0.1</definedName>
    <definedName name="CBCR_37a40d1cd3d84aeb8d6253f7075a4dfa" localSheetId="0" hidden="1">'Mercado Global de Carros'!$K$10+0.16</definedName>
    <definedName name="CBCR_3a708375050b4ecd961ad5762de5ff67" localSheetId="0" hidden="1">'Mercado Global de Carros'!$K$24</definedName>
    <definedName name="CBCR_406ca49bce5e4da5b4e168cf9cdf42bf" localSheetId="0" hidden="1">'Mercado Global de Carros'!$K$12+0.1</definedName>
    <definedName name="CBCR_4534442ce8574ee6b94f56ae874673de" localSheetId="0" hidden="1">'Mercado Global de Carros'!$K$19-0.05</definedName>
    <definedName name="CBCR_56b01c942f0a4a58b963bbc116bf4d9b" localSheetId="0" hidden="1">'Mercado Global de Carros'!$K$26</definedName>
    <definedName name="CBCR_67b5349ce8194c9bba9c7d9a7e032f9e" localSheetId="0" hidden="1">'Mercado Global de Carros'!$K$9</definedName>
    <definedName name="CBCR_7c89e9b78ada4ed4bfdb0d6a5d024cc4" localSheetId="0" hidden="1">'Mercado Global de Carros'!$K$19+0.05</definedName>
    <definedName name="CBCR_b6eb6fcfef7242d99c1b0b1fb60037e2" localSheetId="0" hidden="1">'Mercado Global de Carros'!$K$17+0.11</definedName>
    <definedName name="CBCR_cab62ca03d8a4d9c85e46eebb284798b" localSheetId="0" hidden="1">'Mercado Global de Carros'!$K$12</definedName>
    <definedName name="CBCR_dfdab9e574af49909558c2b519aee8bc" localSheetId="0" hidden="1">'Mercado Global de Carros'!$K$17</definedName>
    <definedName name="CBCR_ee1515d34e6d4962908a3445a9c74926" localSheetId="0" hidden="1">'Mercado Global de Carros'!$K$17-0.1</definedName>
    <definedName name="CBWorkbookPriority" localSheetId="1" hidden="1">-1945781746023920</definedName>
    <definedName name="CBx_2de3c0ec36f34764ab4689c868360779" localSheetId="1" hidden="1">"'Mercado Global de Carros'!$A$1"</definedName>
    <definedName name="CBx_ef6bee2b94ad44c485cde983d35f9616" localSheetId="1" hidden="1">"'Tesla'!$A$1"</definedName>
    <definedName name="CBx_f51a2fffebfa4f21a29462eacf94087c" localSheetId="1" hidden="1">"'CB_DATA_'!$A$1"</definedName>
    <definedName name="CBx_Sheet_Guid" localSheetId="1" hidden="1">"'f51a2fff-ebfa-4f21-a294-62eacf94087c"</definedName>
    <definedName name="CBx_Sheet_Guid" localSheetId="0" hidden="1">"'2de3c0ec-36f3-4764-ab46-89c868360779"</definedName>
    <definedName name="CBx_Sheet_Guid" localSheetId="2" hidden="1">"'ef6bee2b-94ad-44c4-85cd-e983d35f9616"</definedName>
    <definedName name="CBx_SheetRef" localSheetId="1" hidden="1">CB_DATA_!$A$14</definedName>
    <definedName name="CBx_SheetRef" localSheetId="0" hidden="1">CB_DATA_!$C$14</definedName>
    <definedName name="CBx_SheetRef" localSheetId="2" hidden="1">CB_DATA_!$B$14</definedName>
    <definedName name="CBx_StorageType" localSheetId="1" hidden="1">2</definedName>
    <definedName name="CBx_StorageType" localSheetId="0" hidden="1">2</definedName>
    <definedName name="CBx_StorageType" localSheetId="2" hidden="1">2</definedName>
  </definedNames>
  <calcPr calcId="191029" concurrentCalc="0" concurrentManualCount="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74" i="1" l="1"/>
  <c r="Y73" i="1"/>
  <c r="Y69" i="1"/>
  <c r="B59" i="2"/>
  <c r="L50" i="1"/>
  <c r="M50" i="1"/>
  <c r="L52" i="1"/>
  <c r="L53" i="1"/>
  <c r="V53" i="1"/>
  <c r="M53" i="1"/>
  <c r="M52" i="1"/>
  <c r="M51" i="1"/>
  <c r="L63" i="1"/>
  <c r="M63" i="1"/>
  <c r="M65" i="1"/>
  <c r="M64" i="1"/>
  <c r="M76" i="1"/>
  <c r="L79" i="1"/>
  <c r="V79" i="1"/>
  <c r="M79" i="1"/>
  <c r="M78" i="1"/>
  <c r="M77" i="1"/>
  <c r="M37" i="1"/>
  <c r="B26" i="2"/>
  <c r="B5" i="2"/>
  <c r="B19" i="2"/>
  <c r="B30" i="2"/>
  <c r="B31" i="2"/>
  <c r="B33" i="2"/>
  <c r="B22" i="2"/>
  <c r="B23" i="2"/>
  <c r="B34" i="2"/>
  <c r="B35" i="2"/>
  <c r="B38" i="2"/>
  <c r="B43" i="2"/>
  <c r="B44" i="2"/>
  <c r="B41" i="2"/>
  <c r="B45" i="2"/>
  <c r="B48" i="2"/>
  <c r="B49" i="2"/>
  <c r="N50" i="1"/>
  <c r="N53" i="1"/>
  <c r="N52" i="1"/>
  <c r="N51" i="1"/>
  <c r="N63" i="1"/>
  <c r="N64" i="1"/>
  <c r="N76" i="1"/>
  <c r="N79" i="1"/>
  <c r="N78" i="1"/>
  <c r="N77" i="1"/>
  <c r="N37" i="1"/>
  <c r="C26" i="2"/>
  <c r="C19" i="2"/>
  <c r="C20" i="2"/>
  <c r="C30" i="2"/>
  <c r="C31" i="2"/>
  <c r="L33" i="2"/>
  <c r="C33" i="2"/>
  <c r="C22" i="2"/>
  <c r="C23" i="2"/>
  <c r="C34" i="2"/>
  <c r="C35" i="2"/>
  <c r="C37" i="2"/>
  <c r="C38" i="2"/>
  <c r="C42" i="2"/>
  <c r="C41" i="2"/>
  <c r="C43" i="2"/>
  <c r="C44" i="2"/>
  <c r="C45" i="2"/>
  <c r="C48" i="2"/>
  <c r="C49" i="2"/>
  <c r="O50" i="1"/>
  <c r="O53" i="1"/>
  <c r="O52" i="1"/>
  <c r="O51" i="1"/>
  <c r="O63" i="1"/>
  <c r="O64" i="1"/>
  <c r="O76" i="1"/>
  <c r="O79" i="1"/>
  <c r="O78" i="1"/>
  <c r="O77" i="1"/>
  <c r="O37" i="1"/>
  <c r="D26" i="2"/>
  <c r="D19" i="2"/>
  <c r="D20" i="2"/>
  <c r="D30" i="2"/>
  <c r="D31" i="2"/>
  <c r="D33" i="2"/>
  <c r="D22" i="2"/>
  <c r="D23" i="2"/>
  <c r="D34" i="2"/>
  <c r="D35" i="2"/>
  <c r="D37" i="2"/>
  <c r="D38" i="2"/>
  <c r="D42" i="2"/>
  <c r="D41" i="2"/>
  <c r="D43" i="2"/>
  <c r="D44" i="2"/>
  <c r="D45" i="2"/>
  <c r="D48" i="2"/>
  <c r="D49" i="2"/>
  <c r="P50" i="1"/>
  <c r="P53" i="1"/>
  <c r="P52" i="1"/>
  <c r="P51" i="1"/>
  <c r="P63" i="1"/>
  <c r="P64" i="1"/>
  <c r="P76" i="1"/>
  <c r="P79" i="1"/>
  <c r="L72" i="1"/>
  <c r="M72" i="1"/>
  <c r="N72" i="1"/>
  <c r="O72" i="1"/>
  <c r="P72" i="1"/>
  <c r="P73" i="1"/>
  <c r="P78" i="1"/>
  <c r="P77" i="1"/>
  <c r="P37" i="1"/>
  <c r="E26" i="2"/>
  <c r="E19" i="2"/>
  <c r="E30" i="2"/>
  <c r="E31" i="2"/>
  <c r="E33" i="2"/>
  <c r="E22" i="2"/>
  <c r="E23" i="2"/>
  <c r="E34" i="2"/>
  <c r="E35" i="2"/>
  <c r="E37" i="2"/>
  <c r="E38" i="2"/>
  <c r="E42" i="2"/>
  <c r="E41" i="2"/>
  <c r="E43" i="2"/>
  <c r="E44" i="2"/>
  <c r="E45" i="2"/>
  <c r="E48" i="2"/>
  <c r="E49" i="2"/>
  <c r="Q50" i="1"/>
  <c r="Q53" i="1"/>
  <c r="Q52" i="1"/>
  <c r="Q51" i="1"/>
  <c r="Q63" i="1"/>
  <c r="Q64" i="1"/>
  <c r="Q76" i="1"/>
  <c r="Q79" i="1"/>
  <c r="Q72" i="1"/>
  <c r="Q73" i="1"/>
  <c r="Q78" i="1"/>
  <c r="Q77" i="1"/>
  <c r="Q37" i="1"/>
  <c r="F26" i="2"/>
  <c r="F19" i="2"/>
  <c r="F30" i="2"/>
  <c r="F31" i="2"/>
  <c r="F33" i="2"/>
  <c r="F22" i="2"/>
  <c r="F23" i="2"/>
  <c r="F34" i="2"/>
  <c r="F35" i="2"/>
  <c r="F37" i="2"/>
  <c r="F38" i="2"/>
  <c r="F42" i="2"/>
  <c r="F41" i="2"/>
  <c r="F43" i="2"/>
  <c r="F44" i="2"/>
  <c r="F45" i="2"/>
  <c r="F48" i="2"/>
  <c r="F49" i="2"/>
  <c r="R50" i="1"/>
  <c r="R53" i="1"/>
  <c r="R52" i="1"/>
  <c r="R51" i="1"/>
  <c r="R63" i="1"/>
  <c r="R64" i="1"/>
  <c r="R76" i="1"/>
  <c r="R79" i="1"/>
  <c r="R72" i="1"/>
  <c r="R73" i="1"/>
  <c r="R78" i="1"/>
  <c r="R77" i="1"/>
  <c r="R37" i="1"/>
  <c r="G26" i="2"/>
  <c r="G19" i="2"/>
  <c r="G30" i="2"/>
  <c r="G31" i="2"/>
  <c r="G33" i="2"/>
  <c r="G22" i="2"/>
  <c r="G23" i="2"/>
  <c r="G34" i="2"/>
  <c r="G35" i="2"/>
  <c r="G37" i="2"/>
  <c r="G38" i="2"/>
  <c r="G42" i="2"/>
  <c r="G41" i="2"/>
  <c r="G43" i="2"/>
  <c r="G44" i="2"/>
  <c r="G45" i="2"/>
  <c r="G48" i="2"/>
  <c r="G49" i="2"/>
  <c r="S50" i="1"/>
  <c r="S53" i="1"/>
  <c r="S52" i="1"/>
  <c r="S51" i="1"/>
  <c r="S63" i="1"/>
  <c r="S64" i="1"/>
  <c r="S76" i="1"/>
  <c r="S79" i="1"/>
  <c r="S72" i="1"/>
  <c r="S73" i="1"/>
  <c r="S78" i="1"/>
  <c r="S77" i="1"/>
  <c r="S37" i="1"/>
  <c r="H26" i="2"/>
  <c r="H19" i="2"/>
  <c r="H30" i="2"/>
  <c r="H31" i="2"/>
  <c r="H33" i="2"/>
  <c r="H22" i="2"/>
  <c r="H23" i="2"/>
  <c r="H34" i="2"/>
  <c r="H35" i="2"/>
  <c r="H37" i="2"/>
  <c r="H38" i="2"/>
  <c r="H42" i="2"/>
  <c r="H41" i="2"/>
  <c r="H43" i="2"/>
  <c r="H44" i="2"/>
  <c r="H45" i="2"/>
  <c r="H48" i="2"/>
  <c r="H49" i="2"/>
  <c r="T50" i="1"/>
  <c r="T53" i="1"/>
  <c r="T52" i="1"/>
  <c r="T51" i="1"/>
  <c r="T63" i="1"/>
  <c r="T64" i="1"/>
  <c r="T76" i="1"/>
  <c r="T79" i="1"/>
  <c r="T72" i="1"/>
  <c r="T73" i="1"/>
  <c r="T78" i="1"/>
  <c r="T77" i="1"/>
  <c r="T37" i="1"/>
  <c r="I26" i="2"/>
  <c r="I19" i="2"/>
  <c r="I30" i="2"/>
  <c r="I31" i="2"/>
  <c r="I33" i="2"/>
  <c r="I22" i="2"/>
  <c r="I23" i="2"/>
  <c r="I34" i="2"/>
  <c r="I35" i="2"/>
  <c r="I37" i="2"/>
  <c r="I38" i="2"/>
  <c r="I42" i="2"/>
  <c r="I41" i="2"/>
  <c r="I43" i="2"/>
  <c r="I44" i="2"/>
  <c r="I45" i="2"/>
  <c r="I48" i="2"/>
  <c r="I49" i="2"/>
  <c r="U50" i="1"/>
  <c r="U53" i="1"/>
  <c r="U52" i="1"/>
  <c r="U51" i="1"/>
  <c r="U63" i="1"/>
  <c r="U64" i="1"/>
  <c r="U76" i="1"/>
  <c r="U79" i="1"/>
  <c r="U72" i="1"/>
  <c r="U73" i="1"/>
  <c r="U78" i="1"/>
  <c r="U77" i="1"/>
  <c r="U37" i="1"/>
  <c r="J26" i="2"/>
  <c r="J19" i="2"/>
  <c r="J30" i="2"/>
  <c r="J31" i="2"/>
  <c r="J33" i="2"/>
  <c r="J22" i="2"/>
  <c r="J23" i="2"/>
  <c r="J34" i="2"/>
  <c r="J35" i="2"/>
  <c r="J37" i="2"/>
  <c r="J38" i="2"/>
  <c r="J42" i="2"/>
  <c r="J41" i="2"/>
  <c r="J43" i="2"/>
  <c r="J44" i="2"/>
  <c r="J45" i="2"/>
  <c r="J48" i="2"/>
  <c r="J49" i="2"/>
  <c r="V50" i="1"/>
  <c r="V52" i="1"/>
  <c r="V51" i="1"/>
  <c r="V63" i="1"/>
  <c r="V64" i="1"/>
  <c r="V76" i="1"/>
  <c r="V73" i="1"/>
  <c r="V78" i="1"/>
  <c r="V77" i="1"/>
  <c r="V37" i="1"/>
  <c r="K26" i="2"/>
  <c r="K19" i="2"/>
  <c r="K30" i="2"/>
  <c r="K31" i="2"/>
  <c r="K33" i="2"/>
  <c r="K22" i="2"/>
  <c r="K23" i="2"/>
  <c r="K34" i="2"/>
  <c r="K35" i="2"/>
  <c r="K37" i="2"/>
  <c r="K38" i="2"/>
  <c r="K42" i="2"/>
  <c r="K41" i="2"/>
  <c r="K43" i="2"/>
  <c r="K44" i="2"/>
  <c r="K45" i="2"/>
  <c r="K48" i="2"/>
  <c r="K49" i="2"/>
  <c r="L26" i="2"/>
  <c r="L19" i="2"/>
  <c r="L30" i="2"/>
  <c r="L31" i="2"/>
  <c r="L23" i="2"/>
  <c r="L34" i="2"/>
  <c r="L35" i="2"/>
  <c r="L38" i="2"/>
  <c r="L42" i="2"/>
  <c r="L41" i="2"/>
  <c r="L43" i="2"/>
  <c r="L44" i="2"/>
  <c r="L45" i="2"/>
  <c r="L48" i="2"/>
  <c r="L49" i="2"/>
  <c r="B50" i="2"/>
  <c r="B71" i="2"/>
  <c r="Y47" i="1"/>
  <c r="Y43" i="1"/>
  <c r="Y60" i="1"/>
  <c r="K11" i="1"/>
  <c r="K77" i="1"/>
  <c r="K37" i="1"/>
  <c r="M35" i="1"/>
  <c r="M38" i="1"/>
  <c r="B27" i="2"/>
  <c r="K66" i="1"/>
  <c r="K53" i="1"/>
  <c r="K79" i="1"/>
  <c r="K69" i="1"/>
  <c r="K56" i="1"/>
  <c r="K43" i="1"/>
  <c r="K31" i="1"/>
  <c r="K35" i="1"/>
  <c r="K34" i="1"/>
  <c r="K38" i="1"/>
  <c r="K39" i="1"/>
  <c r="K73" i="1"/>
  <c r="L77" i="1"/>
  <c r="L37" i="1"/>
  <c r="L70" i="1"/>
  <c r="L69" i="1"/>
  <c r="L57" i="1"/>
  <c r="L56" i="1"/>
  <c r="L44" i="1"/>
  <c r="L43" i="1"/>
  <c r="L31" i="1"/>
  <c r="L71" i="1"/>
  <c r="L58" i="1"/>
  <c r="L45" i="1"/>
  <c r="L33" i="1"/>
  <c r="L35" i="1"/>
  <c r="L38" i="1"/>
  <c r="L34" i="1"/>
  <c r="L39" i="1"/>
  <c r="V66" i="1"/>
  <c r="O66" i="1"/>
  <c r="P66" i="1"/>
  <c r="Q66" i="1"/>
  <c r="L46" i="1"/>
  <c r="M46" i="1"/>
  <c r="N46" i="1"/>
  <c r="O46" i="1"/>
  <c r="P46" i="1"/>
  <c r="Q46" i="1"/>
  <c r="R46" i="1"/>
  <c r="R66" i="1"/>
  <c r="S66" i="1"/>
  <c r="T66" i="1"/>
  <c r="U66" i="1"/>
  <c r="F64" i="2"/>
  <c r="F65" i="2"/>
  <c r="C46" i="2"/>
  <c r="D46" i="2"/>
  <c r="E46" i="2"/>
  <c r="F46" i="2"/>
  <c r="G46" i="2"/>
  <c r="H46" i="2"/>
  <c r="I46" i="2"/>
  <c r="J46" i="2"/>
  <c r="K46" i="2"/>
  <c r="L46" i="2"/>
  <c r="B46" i="2"/>
  <c r="C39" i="2"/>
  <c r="E39" i="2"/>
  <c r="F39" i="2"/>
  <c r="G39" i="2"/>
  <c r="H39" i="2"/>
  <c r="I39" i="2"/>
  <c r="J39" i="2"/>
  <c r="K39" i="2"/>
  <c r="L39" i="2"/>
  <c r="B39" i="2"/>
  <c r="B68" i="2"/>
  <c r="Y56" i="1"/>
  <c r="L59" i="1"/>
  <c r="M59" i="1"/>
  <c r="N59" i="1"/>
  <c r="O59" i="1"/>
  <c r="P59" i="1"/>
  <c r="Q59" i="1"/>
  <c r="R59" i="1"/>
  <c r="S46" i="1"/>
  <c r="S59" i="1"/>
  <c r="T46" i="1"/>
  <c r="T59" i="1"/>
  <c r="U46" i="1"/>
  <c r="U59" i="1"/>
  <c r="E63" i="2"/>
  <c r="L36" i="1"/>
  <c r="M45" i="1"/>
  <c r="M58" i="1"/>
  <c r="M71" i="1"/>
  <c r="M33" i="1"/>
  <c r="M36" i="1"/>
  <c r="N45" i="1"/>
  <c r="N58" i="1"/>
  <c r="N71" i="1"/>
  <c r="N33" i="1"/>
  <c r="N36" i="1"/>
  <c r="O45" i="1"/>
  <c r="O58" i="1"/>
  <c r="O71" i="1"/>
  <c r="O33" i="1"/>
  <c r="O36" i="1"/>
  <c r="P45" i="1"/>
  <c r="P58" i="1"/>
  <c r="P71" i="1"/>
  <c r="P33" i="1"/>
  <c r="P36" i="1"/>
  <c r="Q45" i="1"/>
  <c r="Q58" i="1"/>
  <c r="Q71" i="1"/>
  <c r="Q33" i="1"/>
  <c r="Q36" i="1"/>
  <c r="R45" i="1"/>
  <c r="R58" i="1"/>
  <c r="R71" i="1"/>
  <c r="R33" i="1"/>
  <c r="R36" i="1"/>
  <c r="S45" i="1"/>
  <c r="S58" i="1"/>
  <c r="S71" i="1"/>
  <c r="S33" i="1"/>
  <c r="S36" i="1"/>
  <c r="T45" i="1"/>
  <c r="T58" i="1"/>
  <c r="T71" i="1"/>
  <c r="T33" i="1"/>
  <c r="T36" i="1"/>
  <c r="U45" i="1"/>
  <c r="U58" i="1"/>
  <c r="U71" i="1"/>
  <c r="U33" i="1"/>
  <c r="U36" i="1"/>
  <c r="V45" i="1"/>
  <c r="V58" i="1"/>
  <c r="V71" i="1"/>
  <c r="V33" i="1"/>
  <c r="V36" i="1"/>
  <c r="K36" i="1"/>
  <c r="K25" i="1"/>
  <c r="K27" i="1"/>
  <c r="M75" i="1"/>
  <c r="N75" i="1"/>
  <c r="O75" i="1"/>
  <c r="P75" i="1"/>
  <c r="Q75" i="1"/>
  <c r="R75" i="1"/>
  <c r="S75" i="1"/>
  <c r="T75" i="1"/>
  <c r="U75" i="1"/>
  <c r="V75" i="1"/>
  <c r="L75" i="1"/>
  <c r="K75" i="1"/>
  <c r="L65" i="1"/>
  <c r="L66" i="1"/>
  <c r="K20" i="1"/>
  <c r="K13" i="1"/>
  <c r="K18" i="1"/>
  <c r="M62" i="1"/>
  <c r="N62" i="1"/>
  <c r="O62" i="1"/>
  <c r="P62" i="1"/>
  <c r="Q62" i="1"/>
  <c r="R62" i="1"/>
  <c r="S62" i="1"/>
  <c r="T62" i="1"/>
  <c r="U62" i="1"/>
  <c r="V62" i="1"/>
  <c r="L62" i="1"/>
  <c r="K62" i="1"/>
  <c r="L49" i="1"/>
  <c r="M49" i="1"/>
  <c r="N49" i="1"/>
  <c r="O49" i="1"/>
  <c r="P49" i="1"/>
  <c r="Q49" i="1"/>
  <c r="R49" i="1"/>
  <c r="S49" i="1"/>
  <c r="T49" i="1"/>
  <c r="U49" i="1"/>
  <c r="V49" i="1"/>
  <c r="K49" i="1"/>
  <c r="C11" i="3"/>
  <c r="B11" i="3"/>
  <c r="A11" i="3"/>
  <c r="P2" i="3"/>
  <c r="B56" i="2"/>
  <c r="B42" i="2"/>
  <c r="A27" i="2"/>
  <c r="A28" i="2"/>
  <c r="H33" i="1"/>
  <c r="H31" i="1"/>
  <c r="I33" i="1"/>
  <c r="I31" i="1"/>
  <c r="J33" i="1"/>
  <c r="J31" i="1"/>
  <c r="G33" i="1"/>
  <c r="G31" i="1"/>
  <c r="G32" i="1"/>
  <c r="M33" i="2"/>
  <c r="V57" i="1"/>
  <c r="K57" i="1"/>
  <c r="M57" i="1"/>
  <c r="K44" i="1"/>
  <c r="K70" i="1"/>
  <c r="N57" i="1"/>
  <c r="V44" i="1"/>
  <c r="M56" i="1"/>
  <c r="N35" i="1"/>
  <c r="N44" i="1"/>
  <c r="M44" i="1"/>
  <c r="M70" i="1"/>
  <c r="O57" i="1"/>
  <c r="L37" i="2"/>
  <c r="M69" i="1"/>
  <c r="O35" i="1"/>
  <c r="N56" i="1"/>
  <c r="O44" i="1"/>
  <c r="N70" i="1"/>
  <c r="N69" i="1"/>
  <c r="P57" i="1"/>
  <c r="P44" i="1"/>
  <c r="P35" i="1"/>
  <c r="O56" i="1"/>
  <c r="O70" i="1"/>
  <c r="O69" i="1"/>
  <c r="Q57" i="1"/>
  <c r="Q44" i="1"/>
  <c r="Q35" i="1"/>
  <c r="P56" i="1"/>
  <c r="P70" i="1"/>
  <c r="P69" i="1"/>
  <c r="R57" i="1"/>
  <c r="R44" i="1"/>
  <c r="R35" i="1"/>
  <c r="Q56" i="1"/>
  <c r="Q70" i="1"/>
  <c r="Q69" i="1"/>
  <c r="S57" i="1"/>
  <c r="S35" i="1"/>
  <c r="S44" i="1"/>
  <c r="R56" i="1"/>
  <c r="R70" i="1"/>
  <c r="R69" i="1"/>
  <c r="T57" i="1"/>
  <c r="T35" i="1"/>
  <c r="S56" i="1"/>
  <c r="T44" i="1"/>
  <c r="S70" i="1"/>
  <c r="S69" i="1"/>
  <c r="U57" i="1"/>
  <c r="U35" i="1"/>
  <c r="T56" i="1"/>
  <c r="U44" i="1"/>
  <c r="T70" i="1"/>
  <c r="T69" i="1"/>
  <c r="U56" i="1"/>
  <c r="U70" i="1"/>
  <c r="U69" i="1"/>
  <c r="V35" i="1"/>
  <c r="V56" i="1"/>
  <c r="V70" i="1"/>
  <c r="V69" i="1"/>
  <c r="M43" i="1"/>
  <c r="M31" i="1"/>
  <c r="K32" i="1"/>
  <c r="M34" i="1"/>
  <c r="L32" i="1"/>
  <c r="N43" i="1"/>
  <c r="N31" i="1"/>
  <c r="O43" i="1"/>
  <c r="O31" i="1"/>
  <c r="M32" i="1"/>
  <c r="O34" i="1"/>
  <c r="O32" i="1"/>
  <c r="N34" i="1"/>
  <c r="N38" i="1"/>
  <c r="N32" i="1"/>
  <c r="P34" i="1"/>
  <c r="P43" i="1"/>
  <c r="P31" i="1"/>
  <c r="P32" i="1"/>
  <c r="C32" i="2"/>
  <c r="O38" i="1"/>
  <c r="M39" i="1"/>
  <c r="B28" i="2"/>
  <c r="N39" i="1"/>
  <c r="C28" i="2"/>
  <c r="C27" i="2"/>
  <c r="Q43" i="1"/>
  <c r="Q31" i="1"/>
  <c r="Q32" i="1"/>
  <c r="Q34" i="1"/>
  <c r="B32" i="2"/>
  <c r="P38" i="1"/>
  <c r="O39" i="1"/>
  <c r="D28" i="2"/>
  <c r="D27" i="2"/>
  <c r="R34" i="1"/>
  <c r="R43" i="1"/>
  <c r="R31" i="1"/>
  <c r="R32" i="1"/>
  <c r="B36" i="2"/>
  <c r="C36" i="2"/>
  <c r="E32" i="2"/>
  <c r="Q38" i="1"/>
  <c r="P39" i="1"/>
  <c r="E28" i="2"/>
  <c r="E27" i="2"/>
  <c r="S34" i="1"/>
  <c r="S43" i="1"/>
  <c r="S31" i="1"/>
  <c r="S32" i="1"/>
  <c r="F32" i="2"/>
  <c r="R38" i="1"/>
  <c r="Q39" i="1"/>
  <c r="F28" i="2"/>
  <c r="F27" i="2"/>
  <c r="T43" i="1"/>
  <c r="T31" i="1"/>
  <c r="T32" i="1"/>
  <c r="T34" i="1"/>
  <c r="E36" i="2"/>
  <c r="G32" i="2"/>
  <c r="F36" i="2"/>
  <c r="R39" i="1"/>
  <c r="G28" i="2"/>
  <c r="G27" i="2"/>
  <c r="S38" i="1"/>
  <c r="U34" i="1"/>
  <c r="U43" i="1"/>
  <c r="U31" i="1"/>
  <c r="U32" i="1"/>
  <c r="U38" i="1"/>
  <c r="T38" i="1"/>
  <c r="S39" i="1"/>
  <c r="H28" i="2"/>
  <c r="H27" i="2"/>
  <c r="V43" i="1"/>
  <c r="V31" i="1"/>
  <c r="V32" i="1"/>
  <c r="V34" i="1"/>
  <c r="G36" i="2"/>
  <c r="H36" i="2"/>
  <c r="H32" i="2"/>
  <c r="I32" i="2"/>
  <c r="J32" i="2"/>
  <c r="V38" i="1"/>
  <c r="T39" i="1"/>
  <c r="I28" i="2"/>
  <c r="I27" i="2"/>
  <c r="U39" i="1"/>
  <c r="J28" i="2"/>
  <c r="J27" i="2"/>
  <c r="K32" i="2"/>
  <c r="V39" i="1"/>
  <c r="K28" i="2"/>
  <c r="L28" i="2"/>
  <c r="K27" i="2"/>
  <c r="L27" i="2"/>
  <c r="K36" i="2"/>
  <c r="J36" i="2"/>
  <c r="I36" i="2"/>
  <c r="L32" i="2"/>
  <c r="M30" i="2"/>
  <c r="L36" i="2"/>
  <c r="B63" i="2"/>
  <c r="B61" i="2"/>
  <c r="B62" i="2"/>
  <c r="F62" i="2"/>
  <c r="F61" i="2"/>
  <c r="E62" i="2"/>
  <c r="F63" i="2"/>
  <c r="F66" i="2"/>
  <c r="E64" i="2"/>
  <c r="E65" i="2"/>
  <c r="D39" i="2"/>
  <c r="B66" i="2"/>
  <c r="B69" i="2"/>
  <c r="B1" i="2"/>
  <c r="D32" i="2"/>
  <c r="D36" i="2"/>
</calcChain>
</file>

<file path=xl/sharedStrings.xml><?xml version="1.0" encoding="utf-8"?>
<sst xmlns="http://schemas.openxmlformats.org/spreadsheetml/2006/main" count="207" uniqueCount="144">
  <si>
    <t>ICE (Veículos a combustão)</t>
  </si>
  <si>
    <t>EV (Veículos Elétricos)</t>
  </si>
  <si>
    <t>Total</t>
  </si>
  <si>
    <t>EV %</t>
  </si>
  <si>
    <t>ICE%</t>
  </si>
  <si>
    <t>China</t>
  </si>
  <si>
    <t>Europa</t>
  </si>
  <si>
    <t>EUA</t>
  </si>
  <si>
    <t>L</t>
  </si>
  <si>
    <t>k</t>
  </si>
  <si>
    <t>x0</t>
  </si>
  <si>
    <t>EV % Mckinsey</t>
  </si>
  <si>
    <t>EV % (tendência logística)</t>
  </si>
  <si>
    <t>Tesla</t>
  </si>
  <si>
    <t>Tesla Total Market Share USA</t>
  </si>
  <si>
    <t>Tesla EV Market Share USA</t>
  </si>
  <si>
    <t>Total (unidades)</t>
  </si>
  <si>
    <t>Tesla Total Market Share China</t>
  </si>
  <si>
    <t>Tesla EV Market Share China</t>
  </si>
  <si>
    <t xml:space="preserve">Tesla Total Market Share </t>
  </si>
  <si>
    <t xml:space="preserve">Tesla EV Market Share </t>
  </si>
  <si>
    <t>Tesla Total Market Share Europe</t>
  </si>
  <si>
    <t>Tesla EV Market Share Europe</t>
  </si>
  <si>
    <t>Crescimento</t>
  </si>
  <si>
    <t>Perpetuidade</t>
  </si>
  <si>
    <t>Receita por veículo</t>
  </si>
  <si>
    <t>Margem Bruta</t>
  </si>
  <si>
    <t>EBIT</t>
  </si>
  <si>
    <t>Tax</t>
  </si>
  <si>
    <t>Delta</t>
  </si>
  <si>
    <t>NOPAT</t>
  </si>
  <si>
    <t>Margem EBIT</t>
  </si>
  <si>
    <t>Taxa de Desconto ao ano</t>
  </si>
  <si>
    <t>Receita por FSD</t>
  </si>
  <si>
    <t>% veículos com FSD</t>
  </si>
  <si>
    <t>Capex de manutenção</t>
  </si>
  <si>
    <t>Capex de expansão</t>
  </si>
  <si>
    <t>Crescimento na perpetuidade</t>
  </si>
  <si>
    <t>Tesla (veículos por ano)</t>
  </si>
  <si>
    <t>Retorno Livre de Risco</t>
  </si>
  <si>
    <t>D&amp;A/Imobilizado</t>
  </si>
  <si>
    <t>D&amp;A</t>
  </si>
  <si>
    <t>NCG</t>
  </si>
  <si>
    <t>Imobilizado</t>
  </si>
  <si>
    <t>Caixa</t>
  </si>
  <si>
    <t>Dívida</t>
  </si>
  <si>
    <t>Total de Ações em Circulação (Basic)</t>
  </si>
  <si>
    <t>Total de Ações em Circulação (Diluído)</t>
  </si>
  <si>
    <t>Valor Presente do Fluxo</t>
  </si>
  <si>
    <t>Premissas</t>
  </si>
  <si>
    <t>Venda de Veículos</t>
  </si>
  <si>
    <t>Market Share Projetado</t>
  </si>
  <si>
    <t>Receita Auto-Pilot</t>
  </si>
  <si>
    <t>FSD Preço</t>
  </si>
  <si>
    <t>Incremento de Margem Bruta com novas baterias</t>
  </si>
  <si>
    <t>Margem Atual</t>
  </si>
  <si>
    <t>54% de redução em 20% do CPV</t>
  </si>
  <si>
    <t>FSD (% da Frota vendida)</t>
  </si>
  <si>
    <t>FSD (% da Frota vendida, ano 5 ao 10)</t>
  </si>
  <si>
    <t>FSD (% da Frota vendida, na perpetuidade)</t>
  </si>
  <si>
    <t>Despesas Operacionais em 2030</t>
  </si>
  <si>
    <t>Lucro Bruto</t>
  </si>
  <si>
    <t>Dos atuais $5 bilhões</t>
  </si>
  <si>
    <t>% Atual</t>
  </si>
  <si>
    <t>Preço atual = $10000</t>
  </si>
  <si>
    <t>Prêmio de Risco de Mercado</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</si>
  <si>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</si>
  <si>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</si>
  <si>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</si>
  <si>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</si>
  <si>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</si>
  <si>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</si>
  <si>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</si>
  <si>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</si>
  <si>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</si>
  <si>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</si>
  <si>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</si>
  <si>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</si>
  <si>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f51a2fff-ebfa-4f21-a294-62eacf94087c</t>
  </si>
  <si>
    <t>CB_Block_0</t>
  </si>
  <si>
    <t>㜸〱敤㕣㕢㡣㈴㔵ㄹ敥慡改敥改敡㤹搹ㄹ㜶㠶㠵攵㍡摣㉦戳㘹㜶㤶㕤㉥攲扡捣㠵扤挰㕥㠶㥤搹㐵㐴㙣㙡扡㑦捤搴㙥㔷搵㙣㔵昵散づ愲㉥㡡㈰㉡㌱愰㠹㠲㈸〴つ挱ㄷㄳ㝣㈰愰ㄸ㘳㌴搱ㄸ㌰㍥㄰ㄳㅦ㑣㤰ㄸ㝤搰㤸㑤㝣攱㠱〴扦敦㔴㔵㜷㜵昷㜴捤搰㠰づ㘶㙡户晦㍤㜵敥攷晣搷昳晦愷㌶愵愴㔲愹㜷昱昰㕦㍥㘹㈶㉥㤸㕥昲㝣㘱ㄵ㈶㥣㑡㐵㤴㝣搳戱扤挲㤸敢敡㑢晢㑤捦敦㐲㠵㙣搱㐴戹㤷㈹㝡收晤㈲㔷㕣ㄴ慥㠷㑡㤹㔴㉡㤷搳㔴㤴戳ㄳ晥〶愲ㄷ㡤慤㝡搳〰㌳ㄳ攳㠷㘶㡦愱搷㘹摦㜱挵㤶攱愳㐱摢㥤愳愳㠵搱挲㡥慤摢㙦㈸㙣摤㌲㍣㔱慤昸㔵㔷散戴㐵搵㜷昵捡㤶攱愹敡㙣挵㉣摤㈱㤶㘶㥣攳挲摥㈹㘶户㕥㍦慢㙦扦㘹㜴晢㡥ㅤ挶捤㌷摦搴㡢愱㔳〷㈷挶愷㕣㘱㜸ㅦ㔰㥦ㄹ㑥㜹晢愴㈸㤹㕣㥢㄰慥㘹捦ㄵ㈶挶昱㌷㌶㝦扣摤㔸㤸㥥ㄷ挲攷搰挲ㄵ㜶㐹㜸ㅡㅡ昶㔸㘳㥥㔷戵ㄶ戸㜹㥡戵ㅢ㑢㉤改㥥㥦戱㈶㐴愵愲㔹㔱慦㌹敢㄰昶慥愲㉦昵㕡搳挲昶㑣摦㕣㌴晤愵慣㌵㠳㡥捡㝤搶ㄱ㑦ㅣ搶敤㌹㜱㔰户㐴挶摡㔳㌵换改攰㐹㜵㕤ㄵ㜵ㄱ㥦㤸㕣㝥㘱捣戳㈶收㜵㔷捥挸攳挶㈴搴摤敤㤶ㅡ敢㕥搶扥㕦㑥㕤㡥挰㍥慦㘸㕦て㈵㐷㜵户㔶㜳愴㝤捤㜰昱㡤㌳戸慥㝤晤搸ㅥ㌵戶戹愶㝤ㅢ戹㤵㡤戵㤵㥥㤰扥攵㡥㘲㌱㕡㤶愰㥢㈰㐷㐰〴㙡㜹㠲ㅥ㠲㕥〰㈵晤㙦㜰㐹扣㈱㡢搴愲慥ㄶ㘷搵㘲㐹㉤㤶搵愲㔰㡢㠶㕡㥣㔳㡢昳㙡搱㔴㡢挷搴攲㜱搴㠹㥥㕣㜷户ㅡ㍥㉦扣搵晢愹挳捦ㅣㅤ晢㠵昷搸户㑥㍣㝤摤㌵扤ㅢ㔰改捥㜰㔲㤳慥㝥ㄲ愴㔶愷攲㙤㠵慤晣戳㌲㔷㠰㈹㡣ㅤ挶㡤挶攸㘸㜹挷㔶晤㝡㍤挳㘵㈵㈰扦㠱㔰〶㔰户搷戸换戴换捥㐹㠹扢ぢ挶㜵㑦搴㌷㙥㈴㉣ㅢ㜷慡㜶搹㍢㝦昹挲㘹㕦昷挵㜹捤㘵昵㑥㕡㥡㑤㠳慤㠴㈷挷扢愸戹搹㔱扤㔲ㄵ㘳愷捣愰昸挲愶㘲㙢捡㜵㘶摢㤷敥㜶挵㠹㕡㘹换㡣挶㈰搴ㄶ㘵摦㉤慢っ㡡㠲㜹つ㑦捣㍢㥥戰攵昴㐶慣㈹戳㜴㕣戸搳㠲㈲㔱㤴攵㔲捦㘶㔱挸昵㈳㠷㙣㉣ㄴ摣㕡扥㌴㥥㙢摣㜶捡〷㌳㡢㌲收扢㈰㕣㝦㘹㐶㥦慤㠸㑤つ㔵㠲㌱㔱戰戹㈱㝢户㔳慡㝡ㄳ㡥敤扢㑥愵戱㘴慣扣愸㐳搲㤴て㌸㘵㤱㑥愷愴㔰㠰挰敤敡㔲㤴搴戵敤㜹㐱㈲㈲㠶㘲㌲昲戹㡤㘴㔷㌸㡣搵㘱ㄵㄵ㐱㥡㔴㉦㕦愱㌳捥㔷捡㤸〴づ㡣慤㠹晡㠳㠳㕥扤㐲户㌵捣㝤戸㤵㔵㜵㌰㕣晤㙤㡢挲昶昷敡㜶戹㈲摣㐴敤愷㜰㐶㕡㍦㐰收っ〴㐲摢摤愳慡㔳㑥㈹㑢㤹㤳㘶搹㥦捦捥ぢ㜳㙥摥㐷ㅥ㌴㘴㉥挷慤㙤㜹戴戳㤰愵㙤㈴ㄸ〴挸攷㔳搹㈱㔶捡收昱愴㌲㤴㑥〹扣摣㈰挸搹慥㠱㤷㝢㡤摤㘶挵ㄷ㠱㔰敥㌷㠰㤱㐰慢㐹昴昵㤱㐴㕤扤ㄴ㈸㡣㈱㘳〲㔴慡㥢戶扦㔴攷摢ㄶ㉥〹㠸㘸㕤ㄶ慣㌹㔹㐰㔱搰㈸てㄲ㜸つ㐴搳㈴つ㤲㉢挷㠸㠸㙣㤰愰搹搱㜳㈳㤱戱㝥㠲㡣㐰晤㌸ㄱ戲昶搶昶㌲㠲挴摥㑡愴㙣搴㤶ㅦ搷愵搹㜲戶㝣㈰捤捥挶挶㘹㥢〸捥㈱㌸㤷㘰㌳㠰昲㌷㐸㌸㑡㌹愴ㅢㅦ敤㝣扣㙢ㄷ㄰㕣〸〰昹愴㔱收㠴愲㡡㌶搴㙡散㐸搶敢㠳㥤㉣㡤攲㐰ㄴ搱㌲慥搹㤹㝤㤶㐴㜴㘸㜵慥つ㕤㥢㤶㍡昶捡昶戴ㄹ㕦づ㈹㌲愱㙡㝣慤㉢㔴㡤㙦〴慢㜶愸户㉥㐶㔳㙤㤸攰ㄲ㠰㐰戱搰搸㕤㥤㌵㑦㜳昲㈳㘱ㄲ〵㠶㔰㠷捡㍤㈴㘲㥡晦〹〲慥攵攸戲㙥㍦搳ㄴㅣ㌱㍥昲昶昳㤶昶扣ㅤ㈲扤㐹㘷慥敢ㅣ晡㡡摥愳〵㝤㈹搸㑢昹㜳㕢晤㜲㌹㡡戵㉢〸慥〴㘸搲㉦㍣㜹扦㔷㉦㠱㌴㠹慤ㄸ收㌶搲攳㈲㉤摣㤹愵〵㈱戵㑦慦㌱愳扢㜳挲㠷昷㘲摦㈴散㘰挷㜵㐵〵〷摡戲捣攰搹攵㥣挶㑣㙦户敢㔸捣㕦户㡦扤㡦㠴㘲㐸愷搵慥㔴㤳㝤㥣㘰㘷挶晣㑤㌱捡愱晥扤扥扤㤰㠸㌵㙡㈴㉦戶㑢㍥㕢慥㑢㤲づ㈴挹搵搸㔶敤ㅡ〰㐸〹攵㡦㙤㈵捡〸慢㙤㤱搵ㅡ慤㔵㝡昷ㄲ㑥㈶㑤晥挳ㄶ㌹搲ㄳ㌸㙢挷攱㍢昰晡慣㘹搳慡〹㡢ㅥ㙢㑡戸㈵昸ㄵ捣㡡挸〷㉥㔹㡡㥡㜵㔹昱ㄱ㤱ㄵ㕤㕤㉤㘷改〴摦㥡愴㤳㈶㈹㤱挸敤㠹㠵〹攷昰㍡㔱搱〵㐹愱㤲攰ㄶ慡㐹㈰㔲ㅥ敢慥㡢㤸づ㐴㑣〱ㅢ愷㕤㐷戰㤵㘰ㄴ㈰昳㝢㐸㥡搵㙥㍣㐳㘱摤㡢㜴㘷ㄷ㡢愹ㅣ搱㈰摤㠳慦户ㄵ㔶摢㌹捣づ㠲ㅢ〰㥡捣ㅦ㍡ㅦㄳ〸㔱愲㍣㐶㠸戴㤶㌴攳愸㈹㑥㤲〶㌶ㄸ〸㉡㑤㔴㍤摦戱ㄸ㔵敡㌳㈶㥤㠳㡥㍦㘹㝡ぢ㠸㐲つㅡ㘱攲慥㜹㘱㠳扡㕣搸㍥㑤㜹捥挲㠲㈸㙢挶戴㔳㠵㘸摢㌷戹ㄶづ攵㔸ㅦ㙣㐹㜹㉥㔷ㄵ㍣㥤㥤㡤搱㠵㈲㑦挴昰戵搲ㄳ扢㉡捦㌷て㝤晤昵ㅤ㥤㌱晤㡡攸㌱〲愶㘳㍡㘷㘰ㄷㄱ㌵㈸㜷ㅢ㌳昳慥㄰㤳㝤挶ㅥ搷㉣㔷㑣㕢㄰ㄹ戰㌱ㄹ愸摢㉦收㄰㈱㤸㜲ㄸ晦㜳散㍥㘳挶搵㙤㙦㐱㘷㌰㜱㘹㘳挳㥢っ㠹㘴㡣㜱搳昶㌰㡣挴㈲搳晤挶昴扣㜳ㄲ搱摡慡㘵敦搱ㄷ扣㌵㠱ㄵㄲ㝤昰㐸搴㈸慡愲慡㑡㑥捤㜵㡡ㅦㅥ挸㔳愹㙤昸愵〹㈴慥㔲ㄹ晡换ㄳ戴㌷敤晡㌰㍥㐳㍢㥤㜳敡㐵攴愸㤶搹㤵㈸㠵挹愹摡㑤㙣㜳㌳挰敤㝢㡥散慢㐷攵摥㔷扣㍡㐳て㝦㠲㡣㤷㘴㔱ぢ㠲搰㍦户㈱㈰ㄵ收㤱㜲挰㠱挰㌸摦㥡挹㉦㙦挸㍡愴扥つ昵攴㙥㐴㤱㝡㡤晤晡慣愸㈰ㄶ㙤改晥㠶攰㠵㘶慣愵㔷扣戰㙣挲戱㉣㥤愴㐵戲㥣㉥改愴攰戱慡敦ㅣ㌰㙤捤〰㤰昴ㄷ㘶改愷㤰愵㥦㤲㔹扤挶㘱㠶〵㘵㥡㝤㌹㜳扡㙢晡昳㤶㔹捡昱㠵愱扢㌵㐱㤳㘰㜲㑡摥攸㠹㘴挶㜰㤳㌵㝦〴㈶㥢㔷〰扡ぢ㤰愳摣㍡愲ㅦ㤴慢㉡㔹晣㔱㍡㜴㉣㐱挰㐸㉦愹㜶ぢ㝡换挸㥢ㄱ㄰㌹昲㌹ㄳ摤扦㌸昳〵攴〴㝥㌹㘲㍤㠱㐴攰ㄱ㡣〹㜹扡户戳挶ㄱ摢昴㠱㍤㘲㙣户改㑦㝡㐰㌹〰㤲昲㜸㝢㥥挴㙡慣搱㐸㑤㉢㕣摣㕡搴愰㈶㉥㙡㉤㡦敢㡤换㤷㈹づ㌴㑡㑣㤱慣㔴㐹㙡㤶㘵收戸㤶㔴㡤㈲ㄵ㜷愴㙤㤴㈴户㘹㝤摦㈹㐵摥㠷㘲㤲㌴㤳搲㜶㑡㐲㐱㤰㤷搴〱ㅤ㐵㝦㝤㌲㜹挴愲㌵戴〱昲搴㔳㐱㕥㕦ㄸづ摣㠷㉢㈷㘵㤱て摦挰摦ㅢ挲攴愱慡摦㔰愲㥦ㅡっ㑢挶㉡㤵㐳㌶慣㠴㤲敥㤶搷〸㑢㘳㙤㠱㠶㤱摣搹愹昶て戶㌷挶㠸㈱ㅢ㌲㈴㤲攰〷〶ㅢ㠲戹㘲搱㔴㕡㘷㝤摣敡㕡㜶㡥㙦〷㠴㙥㑢っ㑣晢攵㐹戱㈸捤戰扡㈵㍦㈸ㅢ搴㑥㡢㔲㡥㙡挶搸慣〷㤵敥㔳㡥㠷㈹挹攰㥡㜱㤸㙥㈹㕣㘰㠰搸つ㔳㔳㈵ㅦ㘱摤㕡〷㍣ㄹ慣ㅤ散㘰㐷㠲戰〹慤㌳㑡搰㙣〲攱㌶㉥㠲扣搳㈱㐶㈱㐸つ昹晣㙢㤷昲搴㤳㝣㝥戴㉢ㄵ㈵㐲㈶㘲愸㉢挱㝡〰㜲攳㔱㐹㜲搱㘰ㄴ㉣て㈴㥢ㄴ㕡扤㔱ㅥ㑤㡣㍥㥡㝣慥㡦ㅢ㍣㡣㘳昵㤳㙤㉡戸攳收㥢搰愶㤵愵つ挶㍥扢㔴愹㤶㠵㔴挵㤱慣㤶ㅡ㜹㑤攰㑢㕥晦ぢ戸㈹㘱㕦挲㑤搹㠷愳ㄴ㤷㑣㈴㜵㙥㜷㙢㥦㐰㜳㈹攴搰㐷㈰摢ㄸ㝣㑣㜰换挹㘰㔸换ㅤ〵摡㠷ㅢ敢㤷ㄷ攴挵㌹㠸戴㤶㉣捡戲晤戸㡢㔷㡢㈰㑢㙥㡢㔵摢敦散㜷㘸戳挷戲昶㥡㐱搶㥡挰ㄱ搶ㄹ〸扣㙣ㄶ挶㐸㠷摣挱㑥㔲㘷挲挸敥㤹㉦挸搷搴㤹㕤愱昱愱㌰扥换㔳㔰ち扢ち㐶愲挱慤搶慤㙥㠵㤱㕦㕡摥摡慤〰ち㐳挰㌴㘸㔱㌳㌰㜰挶㤱㕥搹挰㘱㌰㌲㈱㍡ㅡて愴㌲㐶㌹〸㠷㍤㤰〶㙥攲㐱㝡挶㠱ㄲ昲㠷攴愵戰攸㕥攲㠸㠵㈳㤰攳㙥㙡捡㥣搲㝤㕣㝤戱㌷㌷㘵㡦㤵换㌴㜷攱㥦㕢ㄳ㔸挵戵㡤挰ㅣㅤ㙡扡㤰㈵搷㐴晢敥戲愶㠲昰愲攰戶挹挲㕥摤㉦捤㑦晢㑢挱愵慤㑥㐹㈲昳㜳昸㈳㤶ㅤ㥤㌶㜳摡收㈵搴㐵敥㝤晥戸敤㥣戴攵扣㌲ㅥ㙦晣搱㡡搵扡扢㌹挹㝣敡㕤晣㤱㡦㥡捡扣㡡ㅥ㔷㌳㙤㜶㔰㜷㤰戰ㅦ昹〴搲㘰ㄸ改〴㍡㠱敤㕥扢㌱㐰㍡ㄹ㙡愲ㄳ㈹〸搶〹挵㥥晢挰〸㐵昹ㄹ搰㑡㘲〹㡥攴搸昳攷挱晡捡㑦㤱㐳㠴攳㍤ㄴ㈳㤹㑢㤰㑡㐰㥤ㄴ攴攱昵づ㕥〶昹晦挱㔲挴捤换戲搳㝦㠱㤹㤵㔷㥡㔱㜴ㄱ㔱昴㜲㉢㡡ㄸ㠸㝤㑦㈱㙦捥㝥晤愸昹愱㕦敢晤ㅦㅥ㌵㙦〷㠶昹㐸㙢っ㐱㌵〶攳㙢挶㐰㔷㡢㌱㜰〵㡡愵㌱㜰〷摢㌰㕥ㅦㄸ〳愱户攳〰㌲㔶㌶〶ㄸ挵㑢㌰昹㘲㐱搵㤸〳㠳㘷慤㑤ㄶ㍤㘱㝢㜱扤㔶㜸㠸摣㐳㍤㜹ㄳ昰㍤㥤搳㥡㍤愵扢扡戵㔹收敦㜱〵搴㤶㍢㠳晢摡戲〹㕢㥣户㙣㠹㙣戴㡣㔷㈲昲愷慦㝢㑥㔶㜷㑢ㅤ㤸ち㥥挰㔱慦攴㤴散晢昰㠹㈸㍣㈱愴㍥㍢昴攳㍤㝦戹晦愱㕤扣㤷ㄶ搲㙡㠶㠱攰㑥㠲昳戴ㅣ㄰扥㡤㕤〹㌹㥢㥦摦ㅣ挰㠷㐸收㐲㐵㡣敢慥戴㜷㍣捤㡡㤲〱攱挵〸㌳㈰扥戵㘰㑣攲㠶㐳㘰㑣ㄶ㥡ㅣ㥢昲昳㈵改っ㉣挴㈶㉥扤㜷㔱㠰㔰㘹慢戲㍡戴㉢㌳㍦㠱搲㜹㡦ㄳ㘹戴〷㜹扥攴愳㈸㉦㌶㙢戵ㅤ搴㙡搲㑣㔴㐶㔰㈳㤲㔲㠸㌴㤰㐲攲㐷ㄶ㠶晥愵㤴㥡㐲㈲㔳〰㐸㠸愱㌵〷㜳㜹昲㕦ㄷ〲愲㜶扤慦挳㑦㔵戰㡢挰㘲攴㜵敦昴散㑡慢㌳㔲㑤っ捡捡搳挷㥤㐸挸㘳ち㌳ㄸ愵㤵戹㠷㤱㠸㥥捣㈸㔲慢㜶㍣㜱㤰㍥㉢〸戱〵㡣㥤戱攸㔵换㕢户搹㔵摣昱㠰㥥挹㑡㠵㘱㙦㘴㌶㡥㥥㌲ㅡㄷ㔴捤〷㔹㠴晤㐱戲搶愸㈷㉣㠲捥戲㌷攳晣㠹㌰ㅦ扦〷㘲昹㐸扤敢戳㥢㑢愸攳散㙥㉣㤰㍦搸㕦ㄷ㈵㌰㌶㐶㈵挷㐰挲慥慡㔶㉥戸〴㍥㡤㈶搲㥥㔷戴㝡㤲㘳㈹ち愳搱ㄱ㘷㜵愹㉤晡㥦㜱㙡挹㔹㌳慣捤㠰㜵㠳晥㍦㡡㡣ㄵ昵扦挲㈸㥢㐴搹㕤㘱㠲㉦ㄹ㐶㑡㔶っ捥㜰㐷攰挳㐶㤸㐶ㅥ㠱㌵㤹㘴㜰㍢㐸㑤攳ㄳ搵愰㔸㑡㜰㜸戸搲捤㤷㈰㙡㙤㘹摢昶戴ㄵ㠰㡣〲㘵㕥㠰〸㙡摢㥥㤳㙥㍤挷㘶敦㐶昶搰〱戳攴㍡㥥㘳昸挳搳〸敦づ昳ぢ㌳〳㌶捦㤸昲㝣戳㔰扢っ㍢搱㝢て摡ㅣ㍣〴㠱㝤㔰昸ㅦ㔴搴㤱㌱㠴搵挵㉣昸戵搱㐰㉣㤰㐴敤攰㥤㘵摣㔹搵㉢昸㐰昵㄰扣㥡㍥戳搶㠴戲ぢ㝣换捤㜷㌱戸㜵戸㡤㜵〷㍣㍦愲㔲㐰ㄸ㑣㉥攱㥥㝢戹慦捤㝢搰㔸㌷㕣㥢挷㥡㥤㜹搷昲㤹ㅦ〲愷慢ㅢ愵㤱㘴㌸㈶扦㍢捥㙢昷ㄲ㈲捥㐳敦攸敡㕤戱散㙤㄰㜴ㅥ㝥戶㑤㤷搷㐸〵㡥戲㔵挴戹㍦㠳愶捡慤〴昸㘹挵㌰挱ㄷ㠵晥扣㕢㤸㜸ㄶ换㈲〳㈰㥤捡敡〰敤愹晡晢换㔱戵挲愳〵愹㌰慦㝣て攵摣愵㘰戵㘵收攱愸㈱㡦㄰㐸㙢㜱挹慤昰〸㈱挷㝦ちつ㙡攳捦㈱户晤昸摦㔹㜶㝣㉡㝦戹扥㜸晦〳㤱昲搰㡥㜱攸攳〴ㄵ〲ぢ㘰㈰慡搹㑦戱㐸㔹㤳つ㠲〸慦散㐲ㅡ捦ㅦ挲㝦摦摣昵晡㙢㝣晥戹㑢㤱㠲㄰㐵㡤慢愰㈰㤴慢㜸㍣扥㡡〵攴戶㕦挵㌷㤶㕢挵〰㘵㈴㘷愲戹〰㝤㕤ち㘹㐵慥捡㐳㠲ㅢ捡㥦㈲ㄱ㡡㐴挳㉣〶㠸㔸搹戶㡡〴摡㜲攷㘵摢㐵㈴愲戶ㄹ㙥㐴挲㈷㍣搲㍥攲㤵㐷㝡㙤戲㠱摢㌵ㅢ㘸挵㥣ㄵ晡㕢搷㠴㙣挰㤲昸㑤㙣㕢㤱㥥敤㌰㤶慦㍣ㅡ㈱㘶敦摥攸晢㈸㌵㡣㉥㠱㌰〲㡢㤴㠴挴㡤㔴扥ㄲ㔵㝥昱愵扡㜳ㄴ〵㜸㐰㍤㐱㘵ㄲ㥣慣晣㐸㔴㜹ㅢ扥扤㤲㜵㔲扣㉢挰攷捤愸㌲〹㔳㔶㝥㌸慡晣㡦㙤㥢㙢㤵㈳㍡っ㝡捥㤰㐸ㄲ㙣㕤㘹晤挷扥挳收愱㍡㘳㔰㝦昶ㄸ㐱㌶㈵愷っㄲ㔷愴〶敤挵戵てㄷ㕦㐲敦挷㉤㈶㕣昶㠰㤰つ晥㐳㠴㝤戸摤㌴愹晢㍡㍥㜴㕥㐴㔸搹搵攴ㅢㅢ㘷㡤㐳㉥㌲扡㡤㝤ㅥ捥㔴攵㌵㐵㈲㌰〷搲挱晥慥攰㝥㑦㌰ㅤ敢晢ㄱ㠵挳㔴摥ㄶ改㑣㜹挸㄰㑡㕡㜹㈸挲㙣敡㜴㥤㘶戴捦〱㌹㄰㤳㠰㑣㘸㥦〷っ㐲㉥㐳捣ㄸ㈰晦㑢收㍥㡤㠴昶㈰挱ㄷ〱昲ち㤹㥤㜴㤰晤ㄲ挰㄰慣㔴晣㠷ㄴ摥㜰㔹っ㉦戸㘲搱昴㝥昵〳㐷㔵ㅥ㠸㐶㡣搳㤲昶㘵戶㝡ㄸ愰ぢ摥㕡㈵愴挴扣昶〸㜲攲㈳㔳㝡挸㤱ㅦ㘵挱㔷〹扥〶㤰捦㜰挶慢摥㍡㉥慣㐳昵昵㜵㌴㔵戸ㅦ㔲㤸㍤ㄶ㈶昸㤲㌹つ㜰㑢㝢㠳㤹攷攱攸ㅢ㝥㐴㌶ㅢ㍥搶扦つㅦ摦㉦㜱搱㕤昸扦㐷㌲搲扡㑦慢ㅦ敢慣㉦㜲〲つ㜳昹㜳戱搹敦愳ㅦ慥慢㙥㘸戲挷㡦攳㤷㔳戳捡㠳昸昷㌴㝥捡〹㡣挰㔱愸㙥㜳昰戵㤰㄰㘴挱㐲㔸㐰扤愵㍤づ愰㄰挷挴㤳昶〴摦㠸㕡昶慦㝤㌳㑣昰㐵㈱㕥㑦㌳㔱〹㥢㐷〳ㄲ搷戲攰㜸搳㠰挴扦㉣㌸ㄶㅦ昰摢挸㔵㈴戲㤰㘸㔴㑤㐴㕡㥡戹㑦〲昴㜵昵㜳㙥㔴㜵敡㈹愵㜴㕦昹扥晢摥敥㑦て㥦㤷晥攴慤扤㑦扥昹扢户㥥㜸攳搳㍢晦晥捥搳㑦扦昱搷㈷㕥㝢攷搵搹㥤扦㜹敥戹㕦摦晥捣㙢㙦㙤㌴㥥㔵㕦㝡㝢晦戳て㡣ㅥ㝦攰㠴㜱攴摡㍤て摣㝤散捥搱愹戳㐶扡扡扡扢慦ㅡ晣敤戹㔷て㥣㍥昱戲昲换㍦㥤㘳㉢㜲戹ㅣ昰㌰㐰昴っ㜰搹㜲ㅡ摦㐵〲搳攰㡣㍦搴㘹㜰戹愷昱㔳捡攱㐶㡤攳㈵〷挷〶㈷㈰ぢ㑡㡤〵㍤晦〱搴㔳戳昰</t>
  </si>
  <si>
    <t>Decisioneering:7.0.0.0</t>
  </si>
  <si>
    <t>ef6bee2b-94ad-44c4-85cd-e983d35f9616</t>
  </si>
  <si>
    <t>CB_Block_7.0.0.0:1</t>
  </si>
  <si>
    <t>Premissas China</t>
  </si>
  <si>
    <t>Premissas Europa</t>
  </si>
  <si>
    <t>Premissas EUA</t>
  </si>
  <si>
    <t>ao ano</t>
  </si>
  <si>
    <t>McKinsey/Bloomberg</t>
  </si>
  <si>
    <t>Beta TSLA (3 anos, desalavancado)</t>
  </si>
  <si>
    <t>Beta Desalavancado Médio</t>
  </si>
  <si>
    <t>Beta Setor Auto &amp; Truck (5 anos, desalavancado)</t>
  </si>
  <si>
    <t>2de3c0ec-36f3-4764-ab46-89c868360779</t>
  </si>
  <si>
    <t>㜸〱敤㕣㕢㙣ㅣ㔷ㄹ摥ㄹ敦慥㜷搶㜶散挶㑥搳昴敡摥㉦㡥戶㜱㥡昴㐲㐹㔳㕦㥡㑢㥢㡢ㄳ㍢㈹㔵㈹摢昱敥ㄹ㝢㤲㥤ㄹ㜷㘶搶㠹㑢愱㈹㤴㤶㜲ㄱ㙡㜹㠰㤶〲㔵㐱ㄵ扣㈰㤵㠷慡㠵昲㠰㐰〲愱ㄶ昱㔰㈱昱㠰㔴㉡〴て㈰㠸㠴㤰晡㔰愹㝣摦㤹㤹摤搹㕤敦搸摤戶攰㈲㑦戲㝦捥㥣晢㌹晦昵晣晦㤹愴㤴㔴㉡昵㉥ㅥ晥换㈷捤挴㠵搳㑢㥥㉦慣挲㠴㔳愹㠸㤲㙦㍡戶㔷ㄸ㜳㕤㝤改㠰改昹㕤愸㤰㉤㥡㈸昷㌲㐵捦㝣㔰攴㡡㡢挲昵㔰㈹㤳㑡攵㜲㥡㡡㜲㜶挲摦㐰昴愲戱㔵㙦ㅡ㘰㘶㘲晣昰散〹昴㍡敤㍢慥搸㍡㝣㍣㘸扢㙢㜴戴㌰㕡搸戹㙤挷㡤㠵㙤㕢㠷㈷慡ㄵ扦敡㡡㕤戶愸晡慥㕥搹㍡㍣㔵㥤慤㤸愵扢挴搲㡣㜳㔲搸扢挴散戶ㅢ㘶昵ㅤ㌷㡦敥搸戹搳戸攵㤶㥢㝢㌱㜴敡搰挴昸㤴㉢っ敦〳敡㌳挳㈹敦㤸ㄴ㈵㤳㙢ㄳ挲㌵敤戹挲挴㌸晥挶收㡦户㥢ち搳昳㐲昸ㅣ㕡戸挲㉥〹㑦㐳挳ㅥ㙢捣昳慡搶〲㌷㑦戳昶㘰愹㈵摤昳㌳搶㠴愸㔴㌴㉢敡㌵㘷ㅤ挶摥㔵昴愵㕥㙢㕡搸㥥改㥢㡢愶扦㤴戵㘶搰㔱戹捦㍡收㠹愳扡㍤㈷づ改㤶挸㔸㝢慢㘶㌹ㅤ㍣愹慥慢愳㉥攲ㄳ㤳换㉦㡣㜹搶挴扣敥捡ㄹ㜹摣㤸㠴扡㝢摣㔲㘳摤换摢昷换愹换ㄱ搸攷㤵敤敢愱攴戸敥搶㙡㡥戴慦ㄹ㉥扥㜱〶搷户慦ㅦ摢愳挶㌶搷戶㙦㈳户戲戱戶搲ㄳ搲户摣㔱㉣㐶换ㄲ㜴ㄳ攴〸㠸㐰㉤㑦搰㐳搰ぢ愰愴晦〵㉥㠹㌷㘴㤱㕡搴搵攲慣㕡㉣愹挵戲㕡ㄴ㙡搱㔰㡢㜳㙡㜱㕥㉤㥡㙡昱㠴㕡㍣㠹㍡搱㤳敢敥㔶挳攷摥㝦㕢慦散㍥扤㙤散愹攱㔷㌷㡦づ晦昳戶摥つ愸㜴㈴㥣搴愴慢㥦〲愹搵愹㜸㝢㘱ㅢ晦慣捣ㄵ㘰ち㘳愷㜱㤳㌱㍡㕡摥戹㑤扦㐱捦㜰㔹〹挸㙦㈰㤴〱搴敤㌵敥㌶敤戲㜳㑡攲敥挲㜱摤ㄳ昵㡤ㅢ〹换挶㥤慡㕤昶㉥㔸扥㜰摡搷㝤㜱㝥㜳㔹扤㤳㤶㘶搳㘰㉢攱挹昱㉥㙥㙥㜶㕣慦㔴挵搸㘹㌳㈸扥愸愹搸㥡㜲㥤搹昶愵㝢㕣昱㐰慤戴㘵㐶㘳㄰㙡㡢戲敦㤶㔵〶㐵挱扣㠶㈷收ㅤ㑦搸㜲㝡㈳搶㤴㔹㍡㈹摣㘹㐱㤱㈸捡㜲愹㥢㔸ㄴ㜲晤挸㘱ㅢぢ〵户㤶㉦㡢攷ㅡ㜷㥣昶挱捣愲㡣昹㉥〸搷㕦㥡搱㘷㉢攲摣㠶㉡挱㤸㈸搸搲㤰扤挷㈹㔵扤〹挷昶㕤愷搲㔸㌲㔶㕥搴㈱㘹捡〷㥤戲㐸愷㔳㔲㈸㐰攰㜶㜵㈹㑡敡扡昶扣㈰ㄱㄱ㐳㌱ㄹ昹扣㐶戲㉢ㅣ挵敡戰㡡㡡㈰㑤慡㔷慣搰ㄹ攷㉢㘵㑣〲〷挶搶㐴晤挱㐱慦㔹愱摢ㅡ收㍥摣捡慡㍡ㄸ慥晥㡥㐵㘱晢晢㜴扢㕣ㄱ㙥愲昶㔳㌸㈳慤ㅦ㈰㜳ㄶ〲愱敤敥㔱搵㈹愷㤵愵捣㈹戳散捦㘷攷㠵㌹㌷敦㈳てㅡ㌲㤷攳搶戶㍣摡㌹挸搲㌶ㄲっ〲攴昳愹散㄰㉢㘵昳㜸㔲ㄹ㑡愷〴㕥㙥㄰攴㙣搷挰换扤挶ㅥ戳攲㡢㐰㈸昷ㅢ挰㐸愰搵㈴晡晡㐸愲慥㕥ちㄴ挶㤰㌱〱㉡搵㑤摢㕦慡昳㙤ぢ㤷〴㐴戴㉥ぢ搶㥣㉣愰㈸㘸㤴〷〹扣〶愲㘹㤲〶挹㤵㘳㐴㐴㌶㐸搰散攸戹㤱挸㔸㍦㐱㐶愰㝥㥣〸㔹㝢㕢㝢ㄹ㐱㘲㙦㈵㔲㌶㙡换㡦敢搲㙣㌹㕢㍥㤰㘶㥢戰㜱摡戹〴㥢〹捥㈳搸〲愰晣〵ㄲ㡥㔲づ改挶㐷扢〰敦摡㠵〴ㄷ〱㐰㍥㘹㤴㌹愱愸愲つ戵ㅡ㍢㤲昵晡㘰㈷㑢愳㌸㄰㐵戴㡣㙢㜶㘶㥦㈵ㄱㅤ㕡㥤㙢㐳搷愶愵㡥扤慡㍤㙤挶㤷㐳㡡㑣愸ㅡ㕦敢ち㔵攳ㅢ挱慡ㅤ敡慤㑢搰㔴ㅢ㈶戸ㄴ㈰㔰㉣㌴㜶㔷㘷捤搳㥣晣㐸㤸㐴㠱㈱搴愱㜲て㠹㤸收㝦㠲㠰㙢㌹扡慣摢捦㌴〵㐷㡣㡦扣晤扣戵㍤㙦㠷㐸㙦搲㤹敢㍡㠷扥愲昷㘸㐱㕦〶昶㔲晥搸㔶扦㕣㠱㘲敤㑡㠲慢〰㥡昴ぢ㑦摥敦搵㑢㈰㑤㘲㉢㠶戹㡤昴戸㐸ぢ㜷㘶㘹㐱㐸敤搳㙢捣攸敥㥣昰攱扤搸㍦〹㍢搸㜱㕤㔱挱㠱戶㉣㌳㜸㜶搹摣㤸改敤㜱ㅤ㡢昹敢昶戱昷㤱㔰っ改戴摡㤵㙡戲㡦ㄳ散捣㤸扦㈹㐶㌹搴扦㌷戴ㄷㄲ戱㐶㡤攴挵㜶挹㘷换㜵㐹搲㠱㈴戹〶摢慡㕤ぢ〰㈹愱晣扥慤㐴ㄹ㘱戵慤戲㕡愳戵㑡敦㕥挲挹愴挹㝦搸㈲㐷㝡〲㘷敤㌸㝣〷㕥㥦㌵㙤㕡㌵㘱搱㘳㑤〹户〴扦㠲㔹ㄱ昹挰㈵㑢㔱戳㉥㉢㍥㈲戲愲慢慢攵㉣㥤攰㕢㤳㜴搲㈴㈵ㄲ戹㍤戱㌰攱ㅣ㕥㈷㉡扡㈰㈹㔴ㄲ摣㐲㌵〹㐴捡㘳摤㜵ㄱ搳㠱㠸㈹㘰攳戴敢〹戶ㄱ㡣〲㘴㝥ぢ㐹戳摡㡤㘷㈸慣㝢㤱敥散㘲㌱㤵㈳ㅡ愴㝢昰昵戶挲㙡〷㠷搹㐹㜰㈳㐰㤳昹㐳攷㘳〲㈱㑡㤴挷〸㤱搶㤲㘶ㅣ㌷挵㈹搲挰〶〳㐱愵㠹慡攷㍢ㄶ愳㑡㝤挶愴㜳挸昱㈷㑤㙦〱㔱愸㐱㈳㑣摣㍤㉦㙣㔰㤷ぢ摢愷㈹捦㔹㔸㄰㘵捤㤸㜶慡㄰㙤晢㈷搷挲愱ㅣ敢㠳㉤㈹捦攵慡㠲愷戳戳㌱扡㔰攴㠹ㄸ扥㔶㝡㘲㔷攵昹收愱慦扦扥愳㌳愶㕦ㄱ㍤㐶挰㜴㑣攷っ散㈲愲〶攵㙥㘳㘶摥ㄵ㘲戲捦搸敢㥡攵㡡㘹ぢ㈲〳㌶㈶〳㜵〷挴ㅣ㈲〴㔳づ攳㝦㡥摤㘷捣戸扡敤㉤攸っ㈶㉥㙤㙣㜸㤳㈱㤱㡣㌱㙥摡ㅥ㠶㤱㔸㘴扡摦㤸㥥㜷㑥㈱㕡㕢戵散扤晡㠲户㈶戰㐲愲てㅥ㠹ㅡ㐵㔵㔴㔵挹愹戹㑥昱挳〳㜹㉡戵ㅤ扦㌴㠱挴㔵㉡㐳㝦㜹㠲昶愶㕤ㅦ挶㘷㘸愷㜳㑥扤㠸ㅣ搵㌲扢ㄲ愵㌰㌹㔵扢㤹㙤㙥〱戸㜳敦戱晤昵愸摣晢㡡㔷㘷攸攱㑦㤰昱㤲㉣㙡㐱㄰晡攷㌶〴愴挲㍣㔲づ㌸㄰ㄸ攷㕢㌳昹攵つ㔹㠷搴户愱㥥摣㠳㈸㔲慦㜱㐰㥦ㄵㄵ挴愲㉤摤摦㄰扣搰㡣戵昴㡡ㄷ㤶㑤㌸㤶愵㤳戴㐸㤶搳㈵㥤ㄴ㍣㔶昵㥤㠳愶慤ㄹ〰㤲晥挲㉣晤㌴戲昴搳㌲慢搷㌸捡戰愰㑣戳㉦㘷㑥㜷㑤㝦摥㌲㑢㌹扥㌰㜴户㈶㘸ㄲ㑣㑥挹ㅢ㍤㤱捣ㄸ㙥戲收㡦挱㘴昳ち㐰㜷〱㜲㤴㕢㐷昴㠳㜲㔵㈵㡢㍦㑡㠷㡥㈵〸ㄸ改㈵搵㙥㐵㙦ㄹ㜹㌳〲㈲㐷㍥㘷愳晢ㄷ㘷ㅦ㐶㑥攰㤷㈳搶ㄳ㐸〴ㅥ挱㤸㤰愷㝢㍢㙢ㅣ戳㑤ㅦ搸㈳挶昶㤸晥愴〷㤴〳㈰㈹㡦户攷㑢慣挶ㅡ㡤搴戴挲㈵慤㐵つ㙡攲攲搶昲戸摥戸㘲㤹攲㐰愳挴ㄴ挹㑡㤵愴㘶㔹㘶㡥㙢㐹搵㈸㔲㜱㐷摡㐶㐹㜲㥢搶昷㥤㔲攴㝤㈸㈶㐹㌳㈹㙤㤷㈴ㄴ〴㜹㐹ㅤ搰㔱昴搷㈷㤳㐷㉣㕡㐳ㅢ㈰㑦㍤ㄵ攴昵㠵攱挰晤戸㜲㔲ㄶ昹昰つ晣扤㈱㑣ㅥ慥晡つ㈵晡改挱戰㘴慣㔲㌹㙣挳㑡㈸改㙥㜹㡤戰㌴搶ㄶ㘸ㄸ挹㥤㥤㙡晦㘰㝢㘳㡣ㄸ戲㈱㐳㈲〹㝥㘰戰㈱㤸㉢ㄶ㑤愵㜵搶挷慤慥㘵攷昸㜶㔰攸戶挴挰戴㕦㥥ㄴ㡢搲っ慢㕢昲㠳戲㐱敤戴㈸攵愸㘶㡣捤㝡㔰改㍥攵㜸㤸㤲っ慥ㄹ㐷改㤶挲〵〶㠸摤㌰㌵㔵昲ㄱ搶慤㜵挰㤳挱摡挱づ㜶㈴〸㥢搰㍡愳〴捤㈶㄰㙥攳㈲挸㍢ㅤ㘲ㄴ㠲搴㤰捦㍦㜶㉢捦㍣捤攷㠷扢㔳㔱㈲㘴㈲㠶扡ㄲ慣〷㈰㌷ㅥ㤵㈴ㄷつ㐶挱昲㐰戲㐹愱搵ㅢ攵搱挴攸愳挹攷晡戸挱挳㌸㔶㍦搹愶㠲㍢㙥扥〹㙤㕡㔹摡㘰散户㑢㤵㙡㔹㐸㔵ㅣ挹㙡愹㤱搷〴扥攴昵扦㠰㥢ㄲ昶㈵摣㤴晤㌸㑡㜱挹㐴㔲攷㜶户㜶ㅢ㥡㑢㈱㠷㍥〲搹挶攰㘳㠲㕢㑥〶挳㕡敥㈸搰㍥摣㔸扦扣㈰㉦捥㐱愴戵㘴㔱㤶ㅤ挰㕤扣㕡〴㔹㜲㕢慣摡〱攷㠰㐳㥢㍤㤶戵捦っ戲搶〴㡥戰捥㐰攰㘵戳㌰㐶㍡攴づ㜶㤲㍡ㅢ㐶㜶捦㍥㉣㕦㔳㘷㜷㠷挶㠷挲昸㉥㑦㐱㈹散㉡ㄸ㠹〶户㕡户扡ㄵ㐶㝥㘹㜹㙢户〳㈸っ〱搳愰㐵捤挰挰ㄹ㐷㝡㘵〳㠷挱挸㠴攸㘸㍣㤰捡ㄸ攵㈰ㅣ昶㐰ㅡ戸㠹〷改ㄹ〷㑡挸ㅦ㤲㤷挲愲㝢㠹㈳ㄶ㡥㐰㡥㝢㙥㔳收㤴敥攳敡㡢扤愵㈹㝢慣㕣愶戹ぢ晦摣㥡挰㉡慥㙤〴收攸㔰搳㠵㉣戹㈶摡㜷㤷㌷ㄵ㠴ㄷ〵户㑦ㄶ昶改㝥㘹㝥摡㕦ち㉥㙤㜵㑡ㄲ㤹㥦挱ㅦ戱散攸戴㤹搳㌶㉦愱㉥㜲敦昳㈷㙤攷㤴㉤攷㤵昱㜸攳㡦㔶慣搶摤捤㐹收㔳敦攲㡦㝣搴㔴收㔵昴戸㥡㘹戳㠳扡㠳㠴晤挸㈷㤰〶挳㐸㈷搰〹㙣昷摡㡤〱搲挹㔰ㄳ㥤㐸㐱戰㑥㈸昶摣〷㐶㈸捡㑦㠱㔶ㄲ㑢㜰㈴挷㥥扦〰搶㔷㝥㠲ㅣ㈲ㅣ敦愱ㄸ挹㕣㡡㔴〲敡愴㈰て慦㜷昰㌲挸晦て㤶㈲㙥㕥㤶㥤晥ぢ捣慣扣搲㡣愲㡢㠹愲㤷㕢㔱挴㐰散㝢ち㜹㜳昶敢㐷捤て晤㕡敦晦昰愸㜹㈷㌰捣㐷㕡㘳〸慡㌱ㄸ㕦㌳〶扡㕡㡣㠱㉢㔱㉣㡤㠱扢搸㠶昱晡挰ㄸ〸扤ㅤ〷㤱戱戲㌱挰㈸㕥㠲挹ㄷぢ慡挶ㅣㄸ㍣㙢㥤㙢搱ㄳ戶て搷㙢㠵㠷挸㍤搴㤳㌷〱摦搳收搶散㈹摤搵慤㉤㌲㝦慦㉢愰戶摣ㄹ摣搷㤶㑤搸攲晣㘵㑢㘴愳㘵扣ㄲ㤱㍦㝤摤㜳戲扡㕢敡挰㔴昰〴㡥㝡㈵愷㘴摦㠷㑦㐴攱〹㈱昵改愱ㅦ敤晤搳㠳㡦敥收扤戴㤰㔶㌳っ〴㜷ㄲ㥣愷攵㠰昰㙤散㑡挸㈶㝥㝥㜳㄰ㅦ㈲㤹ぢㄵ㌱慥扢搲摥昱㌴㉢㑡〶㠴ㄷ㈳捣㠰昸搶㠲㌱㠹ㅢづ㠱㌱㔹㘸㜲㙣捡捦㤷愴㌳戰㄰㥢戸昴摥㐵〱㐲愵慤捡敡搰慥捣晣ㄸ㑡攷㍤㑥愴搱ㅥ攴昹㤲㡦愲扣搸慣搵㜶㔲慢㐹㌳㔱ㄹ㐱㡤㐸㑡㈱搲㐰ち㠹ㅦ㔹ㄸ晡㤷㔲㙡ち㠹㑣〱㈰㈱㠶搶ㅣ捣攵挹㝦㕤〸㠸摡昵扥づ㍦㔵挱㉥〲㡢㤱搷扤搳戳㉢慤捥㐸㌵㌱㈸㉢㑦ㅦ㐷㤰㤰挷ㄴ㘶㌰㑡㉢㜳㡦㈲ㄱ㍤㤹㔱愴㔶敤㜸攲㈰㝤㔶㄰㘲ぢㄸ㍢㘳搱慢㤶户敥戰慢戸攳〱㍤㤳㤵ち挳摥挸㙣ㅣ㍤㘵㌴㉥愸㥡て戲〸晢㠳㘴慤㔱㑦㔸〴㥤㘵㙦挱昹ㄳ㘱㍥㝥て挴昲㤱㝡搷㥢㥡㑢愸攳散㙥㉣㤰㍦搸㕦ㄷ㈷㌰㌶㐶㈵挷㐰挲慥慡㔶㉥戸〴㍥㡤㈶搲㥥㔷戴㝡㤲㘳㈹ち愳搱ㄱ㘷㜵愹㉤晡㥦㜱㙡挹㔹㌳慣捤㠰㜵㠳晥㍦㡥㡣ㄵ昵扦挲㈸㥢㐴搹摤㘱㠲㉦ㄹ㐶㑡㔶っ捥㜰㐷攰挳㐶㤸㐶ㅥ㠱㌵㤹㘴㜰㍢㐸㑤攳ㄳ搵愰㔸㑡㜰㜸戸搲捤㤷㈰㙡㙤㘹摢昶戴ㄵ㠰㡣〲㘵㝥〰ㄱ搴戶㍤㈷摤㝡㡥捤摥㠳散愱㠳㘶挹㜵㍣挷昰㠷愷ㄱ摥ㅤ收ㄷ㘶〶㙣㥥㌱攵㠵㘶愱㜶㌹㜶愲昷㕥戴㌹㜴ㄸ〲晢㤰昰㍦愸愸㈳㘳〸慢㡢㔹昰㙢愳㠱㔸㈰㠹摡挱㍢挷㌸㔲搵㉢昸㐰昵㌰扣㥡㍥戳搶㠴戲ぢ㝣换捤㜷㌱戸㜵戸㡤㜵ㄷ㍣㍦愲㔲㐰ㄸ㑣㉥攱摥晢戸慦捤㝢搰㔸㌷㕣㥢挷㥡㥤㜹搷昲㤹敦〳愷慢ㅢ愵㤱㘴㌸㈶扦㍢捥㙢昷ㄱ㈲捥㐳敦攸敡㕤戱散㙤㄰㜴ㅥ㝥戶㑤㤷搷㐸〵㡥戲㔵挴戹㍦㠵愶捡敤〴昸㘹挵㌰挱ㄷ㠵晥扣㕢㤹㜸づ换㈲〳㈰㥤捡敡〰敤愹晡㍢换㔱戵挲愳〵愹㌰慦㝣ㅢ攵摣愵㘰戵㘵收攱愸㈱㡦㄰㐸㙢㜱挹慤昰〸㈱挷㝦〶つ㙡攳捦㈱户晤昸摦㕣㜶㝣㉡㝦戹扥㜸晦〳㤱昲搰㑥㜰攸㤳〴ㄵ〲ぢ㘰㈰慡搹㑦戱㐸㔹㤳つ㠲〸慦散㐶ㅡ捦敦挲㝦摦摣晤晡㙢㝣晥扥㕢㤱㠲㄰㐵㡤慢愰㈰㤴慢㜸㌲扥㡡〵攴戶㕦挵搷㤶㕢挵〰㘵㈴㘷愲戹〰㝤㕤ち㘹㐵慥捡㐳㠲ㅢ捡㥦㈲ㄱ㡡㐴挳㉣〶㠸㔸搹戶㡡〴摡㜲攷㘵摢㐵㈴愲戶ㄹ㙥㐴挲㈷㍣搲㍥攲㤵㐷㝡㙤戲㠱摢㌵ㅢ㘸挵㥣ㄵ晡㕢搷㠴㙣挰㤲昸㑤㙣㕢㤱㥥敤㌰㤶慦㍣ㄱ㈱㘶摦扥攸晢㈸㌵㡣㉥㠱㌰〲㡢㤴㠴挴㡤㔴扥ㄸ㔵㝥昱愵扡㜳ㄴ〵㜸㐰㍤㐱㘵ㄲ㥣慣晣㜸㔴㜹㍢扥扤㤲㜵㔲扣㉢挰攷捤愸㌲〹㔳㔶㝥㉣慡晣户敤㕢㙡㤵㈳㍡っ㝡捥㤰㐸ㄲ㙣㕤㘹晤挷扥挳收愱㍡㘳㔰㝦昶ㄸ㐱㌶㈵愷っㄲ㔷愴〶敤挵戵てㄷ㕦㐲ㅦ挰㉤㈶㕣昶㠰㤰つ晥㐳㠴晤戸摤㌴愹晢㍡㍥㜴㕥㐴㔸搹搵攴ㅢㅢ㘷㡤挳㉥㌲扡㡤晤ㅥ捥㔴攵㌵㐵㈲㌰〷搲挱晥慥攰㝥㑦㌰ㅤ敢晢ㄱ㠵挳㔴摥ㄶ改㑣㜹挸㄰㑡㕡㜹㌴挲㙣敡㑣㥤㘶戴捦〰㌹㄰㤳㠰㑣㘸㥦〵っ㐲㉥㐳捣ㄸ㈰晦㑢收㍥㠳㠴昶〸挱攷〰昲ち㤹㥤㜴㤰晤㍣挰㄰慣㔴晣㠷ㄴ摥㜰㔹っ㉦戸㘲搱昴㝥昱㍤㐷㔵ㅥ㡡㐶㡣搳㤲昶〵戶㝡っ愰ぢ摥㕡㈵愴挴扣昶㌸㜲攲㈳㔳㝡挸㤱㥦㘰挱㤷〸扥っ㤰捦㜰挶慢摥㍡㉥慣㐳昵昵ㄵ㌴㔵戸ㅦ㔲㤸㝤㌵㑣昰㈵㜳〶攰搶昶〶㌳捦挳搱㌷晣㠸㙣㌶㝣慣㝦〷㍥扥㕦攲愲扢昰㝦㡦㘴愴㜵㥦㔶㍦搶㔹㕦攴〴ㅡ收昲攷㘲戳摦㐷㍦㕣㔷摤搰㘴㡦ㅦ挷㉦愷㘶㤵㐷昰敦ㄹ晣㤴〷㌰〲㐷愱扡捤挱搷㐲㐲㤰〵ぢ㘱〱昵㤶昶㈴㠰㐲ㅣㄳ㑦摡㔳㝣㈳㙡搹扦昶昵㌰挱ㄷ㠵㜸㍤挳㐴㈵㙣ㅥつ㐸㕣换㠲㤳㑤〳ㄲ晦戲攰㐴㝣挰㙦㈰㔷㤱挸㐲愲㔱㌵ㄱ㘹㘹收㍥つ搰搷搵捦戹㔱搵愹愷㤵搲晤攵晢敦㝦扢㍦㍤㝣㝥晡ㄳ户昷㍥晤收㙦摥㝡敡㡤㑦敥晡敢㍢捦㍥晢挶㥦㥦㝡敤㥤㔷㘷㜷晤敡昹攷㝦㜹攷㜷㕦㝢㙢愳昱㥣晡搲摢〷㥥㝢㘸昴攴㐳てㄸ挷慥摢晢搰㍤㈷㡥㡣㑥㥤㌳搲搵搵摤㝤昵攰慦捦扢㘶攰捣〳㉦㉢㍦晦挳㘶㕢㤱换攵㠰㐷〱愲㘷㠰换㤶搳昸ㄶㄲ㤸〶㘷晣愱㑥㠳换㍤㠳㥦㔲づ㌷㙡ㅣ㉦㌹㌸㌶㌸〱㔹㔰㙡㉣攸昹て户㌸戳㘱</t>
  </si>
  <si>
    <t>Receita Atual por veículo</t>
  </si>
  <si>
    <t>Crescimento da Receita por veículo</t>
  </si>
  <si>
    <t>Outros Evs</t>
  </si>
  <si>
    <t>CAPEX de manutenção</t>
  </si>
  <si>
    <t>da D&amp;A</t>
  </si>
  <si>
    <t>Imobilizado/500.000</t>
  </si>
  <si>
    <t xml:space="preserve">R$ 21.326,4 por capacidade de produção de novo veículo </t>
  </si>
  <si>
    <t>Despesas Operacionais</t>
  </si>
  <si>
    <t>FCFF</t>
  </si>
  <si>
    <t>Valor Presente FCFF 10 anos</t>
  </si>
  <si>
    <t>Valor Presente FCFF Perpetuidade</t>
  </si>
  <si>
    <t>Valor de Mercado "Justo"</t>
  </si>
  <si>
    <t>Valor Presente FCFF 10 anos (+)</t>
  </si>
  <si>
    <t>Valor Presente FCFF Perpetuidade (+)</t>
  </si>
  <si>
    <t>Valor Presente do FCFF (=)</t>
  </si>
  <si>
    <t>Legenda</t>
  </si>
  <si>
    <t xml:space="preserve">Premissa arbitrária </t>
  </si>
  <si>
    <t>Valores Atuais</t>
  </si>
  <si>
    <t>㜸〱敤㕣㕢㙣ㅣ㔷ㄹ摥ㄹ敦慥㜷搶㜶散挶㙥搳戴愵㜵敦㉤㡥戶㜱㥡搰ㄶ〸愹㉦捤愵㜵ㄲ㌷㜶㕡愰㠵捤㜸昷㑣㍣捤捥㡣㌳㌳敢挴㔰㔱捡愵慤愰ㄴ㔴㤰愰㔵ㄱ愸ㄵ㈰㜸㐰昴㠱搲㐲㕦㄰㐸㈰㔴㄰て〸㠹〷愴㔲㈱㜸〰愱㐸㍣搰㠷㑡昰㝤㘷㘶㜶㘷㜶扤㘳㜷搳㠲㡢㍣挹晥㌹㜳敥攷晣搷昳晦㘷㤲㔱㌲㤹捣扦昱昰㕦㍥㔹㈶㉥㥢㕢昱㝣㘱㤵愶㥣㕡㑤㔴㝣搳戱扤搲㠴敢敡㉢㌳愶攷昷愰㐲扥㙣愲摣换㤵㍤昳㘳愲㔰㕥ㄶ慥㠷㑡戹㑣愶㔰搰㔴㤴戳ㄳ晥㠶愲ㄷ㡤慤晡戳〰昳㔳㤳㐷ㄷㅥ㐰慦㜳扥攳㡡ㅤ愳昷〴㙤昷㡥㡦㤷挶㑢㝢㜶敥㝥㑦㘹攷㡥搱愹㝡捤慦扢㘲慦㉤敡扥慢搷㜶㡣捥搶ㄷ㙡㘶攵㉥戱㌲敦㥣ㄲ昶㕥戱戰昳收〵㝤昷慤攳扢昷散㌱㙥扢敤搶㝥っ㥤㌹㌲㌵㌹敢ち挳㝢㡢晡捣㜱捡扢愷㐵挵攴摡㠴㜰㑤晢㘴㘹㙡ㄲ㝦㘳昳挷摢㉤愵戹㐵㈱㝣づ㉤㕣㘱㔷㠴愷愱㘱㥦㌵攱㜹㜵㙢㠹㥢愷㔹晢戱搴㡡敥昹㌹㙢㑡搴㙡㥡ㄵ昵㕡戰㡥㘲敦㙡晡㑡扦㌵㈷㙣捦昴捤㘵搳㕦挹㕢昳攸愸㍡㘰ㅤ昷挴㌱摤㍥㈹㡥攸㤶挸㔹〷敡㘶㌵ㅢ㍣㤹㥥敢愳㉥攲ㄳ㤳换㉦㑤㜸搶搴愲敥捡ㄹ㜹摣㤸㤴扡晢摤㑡戲敥搵㥤晢攵搴攵〸散昳摡捥昵㔰㜲㡦敥㌶㙡㡥㜵慥ㄹ㉥㍥㌹㠳㥢㍡搷㡦敤㔱戲捤㡤㥤摢挸慤㑣搶㔶晡㐲晡㤶㍢㡡挵㘸㜹㠲㕥㠲〲〱ㄱ愸ㄵ〹晡〸晡〱㤴散㍦挱㈵昱㠶㉣㔲换扡㕡㕥㔰换ㄵ戵㕣㔵换㐲㉤ㅢ㙡昹愴㕡㕥㔴换愶㕡㝥㐰㉤㥦㐲㥤攸㈹昴昶慡攱昳慦㠷ㅦ扦敤㝢摢敥㥢㜸攴㡢扢㝦昸㤸扥㍣摢扦〵㤵敥づ㈷㌵敤敡㘷㐰㙡㑤㉡摥㔵摡挹㍦㙢㜳〵㤸挲搸㘳摣㘲㡣㡦㔷昷散搴㙦搶㜳㕣㔶ち昲ㄳ㠴㌲㠴扡晤挶扤愶㕤㜵捥㐸摣㕤㌶愹㝢愲戹㜱㘳㘱搹愴㔳户慢摥愵慢ㄷ捥昹扡㉦㉥㘹㉤㙢㜶搲搶㙣づ㙣㈵㍣㌹摥攵慤捤敥搱㙢㜵㌱㜱搶っ㡡摦搵㔲㙣捤扡捥㐲攷搲晤慥㌸摤㈸㙤㥢搱〴㠴摡戲散扢㙤㤵㐱㔱㌰慦搱愹㐵挷ㄳ戶㥣摥㤸㌵㙢㔶㑥〹㜷㑥㔰㈴㡡慡㕣敡㠵㉣ち戹㝥散愸㡤㠵㠲㕢慢㔷挵㜳㡤㍢捥晡㘰㘶㔱挵㝣㤷㠴敢慦捣敢ぢ㌵㜱㔱愲㑡㌰㈶ち戶㈷戲昷㍢㤵扡㌷攵搸扥敢搴㤲㈵ㄳ搵㘵ㅤ㤲愶㝡搸愹㡡㙣㌶㈳㠵〲〴㙥㑦㡦愲㘴摥摤㤹ㄷ㈴㈲㘲㈸㈶㈳㕦㥣㈴扢搲㌱慣づ慢愸〹搲愴㝡捤ㅡ㥤㜱扥㔲挶愴㜰㘰㙣㑤搴ㅦㅣ昴㠶㌵扡㙤㘰敥敤慤慣慡挳攱敡敦㔸ㄶ戶㝦㔰户慢㌵攱愶㙡㍦㠵㌳搲〶〱㜲攷㈰㄰㍡敥ㅥ㔵㥤㜲㔶㔹挹㥤㌱慢晥㘲㝥㔱㤸㈷ㄷ㝤攴㐱㐳ㄶち摣摡戶㐷扢〰㔹摡㔶㠲㘱㠰㘲㌱㤳ㅦ㘱愵㝣ㄱ㑦㈶㐷改㤴挲换〹㐱捥㜶〹㕥敥㌷昶㥢㌵㕦〴㐲㜹搰〰㐶〲慤㈶搱㌷㐰ㄲ㜵昵㑡愰㌰㐶㡣㈹㔰愹㙥摡晥㑡㤳㙦摢戸㈴㈰愲㑤㔹戰攱㘴〱㐵㐱㔲ㅥ愴昰ㅡ㠸愶㐵ㅡ愴㔷㡥ㄱㄱ搹㈰㐵戳愳攷㈴㤱戱㝥㡡㡣㐰晤㌸ㄱ戲昶捥捥㌲㠲挴摥㑥愴㙣搴㤱ㅦ㌷愵搹㙡戶㝣㈰捤㉥挴挶㘹ㄷㄱ㙣㈳戸㤸㘰㍢㠰昲ㄷ㐸㌸㑡㌹愴㤳㡦㜶㈹摥戵换〸摥〵〰昹愴㔱收㠴愲㡡㌶搴㝡散㐸搶ㅢ㠰㥤㉣㡤攲㐰ㄴ搱㌲㙥搸㤹〳㤶㐴㜴㘸㜵㙥っ㕤㥢㤵㍡昶扡捥戴ㄹ㕦づ㈹㌲愵㙡㝣慤㙢㔴㡤㙦〴慢㜶愹户慥㐰㔳㙤㤴攰㑡㠰㐰戱搰搸㕤㥦㌵㑦㜳昲ㅤ㘱ㄲ〵㠶㔰㤷捡㍤㈴㘲㥡晦㈹〲慥敤攸戲㘹㍦搳ㄴㅣ㌳摥昱昶昳㡥捥扣ㅤ㈲扤㐵㘷㙥敡ㅣ晡㡡摥愴〵㝤ㄵ搸㑢昹㘳㐷晤㜲つ㡡戵㙢〹慥〳㘸搱㉦㍣㜹扦㔹㉦㠱㌴㠹慤ㄸ收戶搲攳㈲㉤摣昹㤵㈵㈱戵㑦扦㌱慦扢㈷㠵て敦挵愱㘹搸挱㡥敢㡡ㅡづ戴㔵㤹挱戳换戶㘴愶户摦㜵㉣收㙦摡挷摥㍢㐲㌱㘴戳㙡㑦愶挵㍥㑥戱㌳㘳晥愶ㄸ攵㔰晦摥摣㔹㐸挴ㅡ㈵挹㡢敤搲捦㤶㥢㤲愴ぢ㐹㜲〳戶㔵扢ㄱ〰㔲㐲昹㝤㐷㠹㌲挶㙡㍢㘴戵愴戵㑡敦㕥捡挹愴挵㝦搸㈶㐷晡〲㘷敤㈴㝣〷摥㠰㌵㘷㕡つ㘱搱㘷捤ち户〲扦㠲㔹ㄳ挵挰㈵㑢㔱戳㈹㉢摥㈱戲愲愷愷敤㉣㥤攲㕢㤳㜴搲㈲㈵㔲戹㍤戵㌰攵ㅣ摥㈴㉡扡㈰㈹㔴㔲摣㐲つ〹㐴捡㘳摤㑤ㄱ搳㠵㠸㈹㘱攳戴㥢〸㜶ㄲ㡣〳攴㝥〳㐹戳摥㡤㘷㈸慣㜷㤹敥散㜲㌹㔳㈰ㅡ愴㝢昰搷ㅤ㠵搵㙥づ戳㠷攰㍤〰㉤收て㥤㡦㈹㠴㈸㔱ㅥ㈳㐴㕡㑢㥡㜱㡦㈹捥㤰〶戶ㄸ〸㉡㑤搵㍤摦戱ㄸ㔵ㅡ㌰愶㥤㈳㡥㍦㙤㝡㑢㠸㐲つㅢ㘱攲摥㐵㘱㠳扡㕣搸㍥㉤㜹捥搲㤲愸㙡挶㥣㔳㠷㘸㍢㌴扤ㄱづ攵㔸ㅦ㙣㐹㜹㉥㔷ㄵ㍣摤㥤㡤搱㠵㈲㑦挴昰戵搲ㄳ扢㉥捦㌷て㝤㠳捤ㅤ㥤㌷晤㥡攸㌳〲愶㘳扡㘰㘰ㄷㄱ㌵愸昶ㅡ昳㡢慥㄰搳〳挶〱搷慣搶㑣㕢㄰ㄹ戰㌱ㄹ愸㥢ㄱ㈷ㄱ㈱㤸㜵ㄸ晦㜳散〱㘳摥搵㙤㙦㐹㘷㌰㜱㘵㙢攲㑤㠶㐴㜲挶愴㘹㝢ㄸ㐶㘲㤱改㐱㘳㙥搱㌹㠳㘸㙤摤戲て攸㑢摥㠶挰ち㠹㍥㜸㈴㙡ㄴ㔵㔱㔵愵愰ㄶ扡挵てて攴㤹捣㉥晣戲〴ㄲ㔷㤹ㅣ晤攵㈹摡㥢㜶㝤ㄸ㥦愱㥤捥㌹昵㈳㜲搴挸散㐹㤵挲攴㔴敤㔶戶戹つ攰捥〳挷て㌵愳㜲攷ㄵ慦捥搱挳㥦㈲攳㈵㔹㌴㠲㈰昴捦㙤〹㐸㠵㜹愴ㅣ㜰㈰㌰捥户㔶昲㉢ㅡ戲づ愹㙦㑢㌳戹ㅦ㔱愴㝥㘳㐶㕦㄰㌵挴愲㉤摤摦ㄲ扣搰㡣戵昴㥡ㄷ㤶㑤㌹㤶愵㤳戴㐸㤶㜳ㄵ㥤ㄴ㍣㔱昷㥤挳愶慤ㄹ〰㤲晥挲㉣晤㉣戲昴戳㌲慢摦㌸挶戰愰㑣戳㉦攷愴敥㥡晥愲㘵㔶ち㝣㘱攸㙥㐳搰㈴㤸㥣㤲㌷㝡㈲㤹㌱摡㘲捤ㅦ㠷挹收㤵㠰敥ㄲ攴㈸户㡥攸〷攵慡㑡ㅥ㝦㤴㉥ㅤ㑢㄰㌰搲㑢慡扤て扤攵攴捤〸㠸ㅣ昹㥣㡢敥㕦㥣㝢〸㌹㠱㕦㡥㔸㑦㈱ㄱ㜸〴㘳㐲㥥敥敤扣㜱摣㌶㝤㘰㡦ㄸ摢㙦晡搳ㅥ㔰づ㠰愴㍣摥㕥㈲戱ㅡ㙢㌴搶搰ち㔷戴ㄷ㈵搴挴攵敤攵㜱扤㜱捤㉡挵㠱㐶㠹㈹㤲戵㉡㐹捤戲捡ㅣ㌷㤲慡㔱愴攲㡥戴㡤㤲收㌶㙤敥㍢愵挸㜹㈸㈶㐹㌳ㄹ㙤慦㈴ㄴ〴㜹㐹ㅤ搰㔱昴搷愷㤳㐷㉣㕡㐳ㅢ愰㐸㍤ㄵ攴つ㠴攱挰㐳戸㜲㔲ㄵ挵昰つ晣扤㈵㑣ㅥ慤晢㠹ㄲ晤散㜰㔸㌲㔱慢ㅤ戵㘱㈵㔴㜴户扡㐱㔸ㅡ㙢ぢ㌴㡣攴捥㙥戵㝦戰扤㌱㐶っ搹㤰㈱㤱ㄴ㍦㌰搸㄰捣ㄵ㡢愶搲㍡ㅢ攰㔶㌷戲ぢ㝣㍢㉣㜴㕢㘲㘰捥慦㑥㡢㘵㘹㠶㌵㉤昹㘱搹愰㜱㕡㤴㜲㔴㌳㈶ㄶ㍣愸㜴㥦㜲㍣㑣㐹〶搷㡣㘳㜴㑢攱〲〳挴㙥㤸㥡慤昸〸敢㌶㍡攰挹㘰攳㘰〷㍢ㄲ㠴㑤㘸㥤㔱㠲收㔳〸㌷戹〸昲㑥㤷ㄸ㠵㈰㌵攴昳㡦㝤捡搳㑦昱昹敥扥㑣㤴〸㤹㠸愱慥ㄴ敢〱挸㡤㐷㈵挹㐵挳㔱戰㍣㤰㙣㔲㘸昵㐷㜹㌴㌱〶㘸昲戹㍥㙥昰㌰㡥㌵㐸戶愹攱㡥㥢㙦㐲㥢搶㔶戶ㄸ㠷散㑡慤㕥ㄵ㔲ㄵ㐷戲㕡㙡攴つ㠱㉦㜹晤㉦攰愶㤴㝤〹㌷攵㄰㡥㔲㕣㌲㤱搴扤摤慤㝤〰捤愵㤰㐳ㅦ㠱㙣㘳昰㌱挵㉤㈷㠳㘱㙤㜷ㄴ㘸ㅦ㙥㙤㕥㕥㤰ㄷ攷㈰搲摡戲㈸换㘶㜰ㄷ慦ㄱ㐱㤶摣ㄶ慢㌶攳捣㌸戴搹㘳㔹〷捤㈰㙢㐳攰〸敢っ〴㕥㍥て㘳愴㑢敥㘰㈷㤹㜳㘱㘴昷摣㐳昲㌵㜳㙥㕦㘸㝣㈸㡣敦昲ㄴ㤴挹摦づ㔰㤸ㄷ㕥㑤扦㜲ㄲ〷㕦㜰ㄵ慤㙦愵㘹㠲㉢っ〳搳っ搷㈶㔸挰㜸㌰慤㕢搴っ慣㥤㈹愴搷戶㜶ㄸ㤹㑣〹㤵挶愳慡っ㔸づ挳㝢てっ㠲戵㜸慡㥥㜷愰㤱晣ㄱ㜹㐳㉣扡愴㌸㘶攱㍣攴戸ㄷ戵㘴捥敡㍥敥挱搸摢㕢戲㈷慡㔵摡扥㜰搶㙤〸ㄴ攳づ㐷㘰㥢㡥戴摣捥㤲㙢愲戱㜷㜵㑢㐱㜸㙢㜰搷㜴改愰敥㔷ㄶ攷晣㤵攰〶㔷户昴㤱㝢ㄹ捥㠹㔵㐷愷〱㥤戵㜹㈳㜵㤹㝢㕦㍣㘵㍢㘷㙣㌹慦㥣挷敢㝦愰㄰摣愵散攵㈴㡢㤹㝦攳㡦㝣搴㑣敥㈷攸㜱㍤搳㘶〷㑤㙦〹晢㤱㑦㈰ㅡ㐶㤱㑥愱ㄳㄸ昲㡤敢〳愴㤳㤱ㄶ㍡㤱㔲㘱㤳㔰散㤳㙦ㄹ愱㈸㍦〶㕡㐹㉣挱昹ㅣ㝢晥㙤戰扥昲ㄲ㜲㠸㜰扣㐷〷㥡㉢㤱㑡㐱㥤㤴敡攱㕤て摥っ昹晦挱㔲挴捤慢戲搳㝦㠱㤹㤵ㄷ㕢㔱㜴㌹㔱昴愳㜶ㄴ㌱㉡晢愶攲摦㥣晤收戹昳㙤扦攳晢㍦㍣㜷摥〵っ昳㤱愶ㄹ㈲㙣搷㈰㉤㉤〳昰扢搲㈳㡤〱㌵㘶っ㕣㡢㘲㘹っ捣戰つ㠳昷㠱㌱㄰扡㍥㡥㈰㘳㙤㘳㠰㈱扤ㄴ晢㉦ㄶ㘱㡤㜹㌳㜸昰扡挸愲㕢散㈰敥摡ちて㘱㝣愸㈷㙦ち㡥愸㙤敤搹戳扡慢㕢摢㘵晥〱㔷㐰㙤戹昳戸扣㉤㥢戰挵㈵慢㤶挸㐶慢戸㈸㈲攷晡愶ㅢ㘵㝤㔷搶㠱愹攰〹扣昶㑡㐱挹㥦㠷㠳㐴攱㜱㈱昳昱㤱敦ㅦ昸搳挷㍥戳㡦㤷搴㐲㕡捤㌱㉡摣㑤愴㥥㤶〳㘲戹戱晢㈱ㄷ昲㕢㥣挳昸㉡挹㕣慡㠹㐹摤㤵昶㡥愷㔹㔱㌲㈰扣ㄸ㘱〶挴户ㄱ㡣㐹㕣㜷〸㡣挹㔲㡢㤷㔳㝥换㈴㍤㠳愵搸挴愵㉢㉦㡡ㄶ㉡ㅤ㔵㔶㤷㜶㘵敥㜹㈸㥤㌷㌹㤱愴㍤挸挳㈶ㅦ㐵昹㐱慢㔶摢㐳慤㈶捤㐴㘵っ㌵㈲㈹㠵戰〳㈹㈴㉥愵㜸て㐰㑡愹扢㤱挸㤵〰㔲〲㙡慤㤱㕤扡〱㌶㠵㠰㘸摣昵敢昲扢ㄵ散㈲㌵〸㍦㔹㌹て收愷搵ㄹ愹㈶㐶㘸攵改攳ㄸㄲ昲㤸挲っ㠶㙣㘵敥ㅣㄲ搱㤳挳㔱㌶捤㝤㥡昴㐲㜱㤰〱㉢㠸户〵㡣㥤戳攸㘲㉢㕡㜷搸㜵㕣昸㠰㥥挹㑢㠵㘱㙦㘵㌶㡥㥥㌲㌴ㄷ㔴㉤〶㔹㠴㠳㐱戲搱愸㉦㉣㠲捥戲户攳晣㠹㤸ㅦ㍦づ㘲昹㔸戳敢ぢ㕢㑢愸攳散㕥㉣㤰㍦搸㕦㤷愷㌰㌶㐶㈵挷㐰挲慥慢㔶㈱戸ㄱ㍥㡦㈶搲㥥㔷戴㘶㤲㘳㈹ち㐳搳ㄱ㘷昵愸㙤晡㥦㐱㙢挹㔹挷㔹㥢搱敢㠴晥扦ㄷㄹ㙢敡㝦㠵㈱㌷㠹戲て㠶〹扥攴ㄸ㌶㔹㌳㔲挳ㅤ㠱㐳ㅢ㌱ㅢ㜹〴搶㘴㤲㤱敥㈰㌵㠷敦㔵㠳㘲㈹挱攱敥捡戶摥㠸㘸戴愵㙤摢搷㔱〰㌲㈴㤴晢づ㐴㔰挷昶㥣㜴晢㌹㌶晦㘱㘴㡦ㅣ㌶㉢慥攳㌹㠶㍦㍡㠷㔸敦㈸㍦㌷㌳㘰昳㑣㈸摦㙡ㄵ㙡㔷㘳㈷晡敦㐷㥢㈳㐷㈱戰㡦〸晦慤ち㐱㌲愰戰扥〰〶㍦㍤ㅡ㡡㐵㤵愸ㅤ扣ぢ㡣扢敢㝡つ㕦慢ㅥ㠵㡢搳㘷搶㠶㔰㜶㠱愳戹昵㘲〶户づ㔷戳敥㠲攷㐷搴㑡㠸㠹挹㈵摣昷ㄱ敥㙢敢ㅥ㈴敢㠶㙢昳㔸戳㍢㔷㕢㌱昷ㅣ㜰扡扥㔱㤲㈴挳㌱昹ㄱ㜲㔱晢㈸㈱㠲㍥㜴㤵慥摦㉦换摥㠶㐱攷攱㌷摣㜴㜹㡤搵攰㈸㕢㐷搰扢㡣愶捡〴〱㝥摡㠹㌰挱ㄷ㠵晥㍣戲愲昲つ㉣㡢っ㠰㜴㈶扦〰搰㤹慡扦㡥㙡〹ㅦ〱愹㕡攱搱㠲㔴㔸㔴㥥㐱㌹㜷㈹㔸慤㘰ㅥ㡥ㅡ昲〸㠱戴ㄶ㤷摣ち㡦㄰㜲晣愷搰愰㌱晥㈲㜲㍢㡦晦搵㔵挷愷昲㤷敢㡢昷㍦ㄴ㈹て敤ㄴ㠷慥ㄱ㔸〴㌶挰㔰㔴㜳㤰㘲㤱戲㈶ㅦ㐴ㄴ㕥摡㠷㌴㥥摦㠶晦扥扡敦搷慦昰昹晢㍥㐵ち㐲ㄴ㈵㔷㐱㐱㈸㔷昱愵昸㉡㑥㈳户昳㉡㥥㔸㙤ㄵ㐳㤴㤱㥣㠹收〱っ昴㈸愴ㄵ戹㉡ㅦ〹㙥㈸㝦㡡㐴㈸ㄲ㠹㔹っ㥤㐰㡥㙣扢㡣〴摡㜲攷㘵摢㌳㐸㐴㙤㜳摣㠸㤴敦㜹愴㝤挴晢㡦昴摡攴〳户㙢㍥搰㡡〵㉢昴户㙥〸搹㠰㈵搱摡攸㈸搲昳㕤〶昶㤵挷㈲挴ㅣ㍣ㄸ㝤㉣愵㠶愱㈶㄰㐶㘰㤱㤲㤰戸㤱捡愳㔱攵攷㕦㘸㍡㐷㔱㠰〷搴ㄳ㔴㈶挱挹捡㡦㐴㤵㜷攱㐳㉣㔹㈷挳㡢〳㝣㕥㡤㉡㤳㌰㘵攵捦㐶㤵晦戶㙢㝢愳㜲㐴㠷㐱捦㌹ㄲ㐹㡡慤㉢慤晦搸㐷搹㍣㔴攷っ敡捦㍥㈳挸愶攴㤴ㄱ攳㥡搴愰晤戸〳攲攲戳攸ㄹ㕣㘹挲捤て〸搹攰㝦㐷㌸㠴慢㑥搳扡慦攳慢攷㘵挴㤸㕤㑤扥戱㜱摥㌸敡㈲愳搷㌸攴攱㑣㔵摤㔰㈴〲㜳㈰ㅢ散敦ㅡ敥昷㤴〰㘶㜳㍦愲搸㤸捡慢㈳摤㈹てㄹ㐲挹㉡㥦㡥㌰㥢昹㘴㤳㘶戴㑦〰㌹㄰㤳㠰㑣㘸て〱〶㈱㤷ㄱ㘶っ㤱晦㈵㜳㍦捣㠲㑦ㄱ㝣ㅡ愰愸㤰搹㐹〷昹捦〰㡣挰㑡挵晦㑥攱㡤㔶挵攸㤲㉢㤶㑤敦㘷捦㌹慡昲昱㘸挴㌸㉤㘹㡦戰搵愳〰㍤昰搶㉡㈱㈵ㄶ戵挷㤰ㄳㅦ㤹搲㐳㡥晣㌹ㄶ㝣㥥攰㜱㠰㘲㡥㌳㕥昷搶㜱㘱㕤慡慦㉦愰愹挲晤㤰挲散㠹㌰挱㤷ㅣ㌷攳㝤㥤つ㘶㥥㠷愳て晡ㄱ收㑣㝣戹㝦〷扥挴㕦攱愲㝢昰ㅦ㤱攴愴㜵㥦㔵摦摢㕤㕦攴〴ㅡ收昲㜷ㅡ㥢㝤ㅥ晤㜰㕤㑤㐳㤳㍤扥ㅦ扦㠲㥡㔷㠸㜴㉥㔸㔹挲〸ㅣ㠵敡戶㠰攳ㄶ〹㐱ㄶ㌸㘱挱㍥㘴㘸㑦戲㉡㜱㑣㍣㘹㕦收ㅢ㔱换晥戵慦㠴〹扥㈸挴慢㙣㝥㉡㙣ㅥつ㐸㕣换㠲〷㕡〶㈴晥㘵㠱ㄹㅦ昰㙢散㑣㈲ぢ㠹愴㙡㈲搲㈴つ㍤㡤挴㐰捦㈰攷㐶愵愹㥥㔵㉡㈷慡㈷㑥扣㍥㤸ㅤ扤㈴晢挱摢晢㥦㝡昵㔷慦㍤昹扢晢昷晥昵㡤㘷㥥昹摤㥦㥦㝣攵㡤㤷ㄷ昶晥攲搹㘷㝦㝥攷㌷㕥㜹㙤慢昱㑤昵㠵搷㘷扥昹攰昸愹〷㑦ㅢ挷摦㝤攰挱て㍤㜰昷昸散〵㘳㍤㍤扤扤搷て晦昲攲ㅢ㠶㍥㜹晡㐵攵愷㝦搸㘶㉢㜲戹ㄸ㈰㌹つ㉥㕢㑥攳ㄹ㈴㌰つ捥昸㙤㥤〶㤷㉢㌷慡ㄲ㙥搴㈴㌲ち戰㤶㌸〱㔹戰㤰㉣攸晢て昶づ户づ</t>
  </si>
  <si>
    <t>㜸〱捤㕣〹㤸㕣㐵戵敥敡㤹扥㌳搵㤳㘴ㅡ〸㑢っ㈴㠳㈴㄰挸㘴攸扤愷ㄳ攳㌰㌳㔹〸搹㌳ㄳ㄰㔹㠶摢摤户㌳㑤㝡〹摤㍤㔹〰㐵昴攱㠲㠰戲扣㠷㍥㍦ㄵっ㈲㡢攰㔳㜹㍣㔰㐱㌰敡攷昳㐳ㄱ㜰㝢㝥㉥愰㠲㘰㜸ちち捡㈲昰晥扦敥扤摤户扢敦㑣ㄶ㜹摦挷捤昴改慡㔳愷㑥㥤晡㑦㔵摤㍡㜵㙦挷㈳㍣ㅥ捦ㅢ戸昸捤慢㥤㠹愳㐷㜶㔵慡㐶愱㙦戸㤴捦ㅢ改㙡慥㔴慣昴つ㤶换晡慥㌵戹㑡戵つ〲摡㔸づ攵ㄵ摦㔸㈵㜷愱搱㌹戶摤㈸㔷㈰攴昳㜸㍡㍢愵ㄷ攵㥤搶㈷㘰㘷㈴㙢挹㜶ㄲ㐸㜹愴㐶搲㐱㐲㔱㈹㐹晣㈰搳扡㐰㐶㠷㠷搶愷捥㐷挳㈳搵㔲搹攸敤㌹摤㔴扦㌴ㄴ敡ぢ昵挵㠲搱㜸㕦戰户㘷㜸㈲㕦㥤㈸ㅢ㑢㡢挶㐴戵慣攷㝢㝢㌶㑣愴昲戹昴㙡㘳搷㘸㘹慢㔱㕣㙡愴㠲㤱㤴ㅥ敤て㐵㘳戱㙣㌲搹㍦㙤ㅡ㌴慦ㅢㅥ摡㔰㌶戲㤵㌷㑢攷㜴敡㕣㍦㍣搴户捥愸扥㔹㍡㘷㐰㈷㔴㉥㉢ㄵ昴㕣昱㑤㔲敡㈳晣戱㘵㐶㍡㐷㍦ㄹ㐶㌹㔷摣搲〷戳ㅢ㠰㐶㉥搱㌷㔸愹㑣ㄴ戶搱攵挳㐶㍥扦挹挸㉡晦ㄴ㤶㔵慡ㅢ昴㜲愱㌲慤㐰晣㡣戲㔱㑣ㅢ㤵ㄹ㠵攵㍢搳㐶摥ㄲ慣㜴ㄶ㑥搷换敢昴㠲搱捥㐴㜷挱昴攱慡㡣㔱慣收慡扢愶ㄷ㌶㔷㡣㑤㝡㜱㡢㐱ㄱ㕦㘱攵㐴㉥㈳摡摢昱攷㘹㍢挱捤㌲攵㈸搸㔳ㄸㅥ搷换㔵㤵愳ぢ㐳㙥戲㡥攱愲㝡搱㘰ㄷ㠷㔴㑦㔳㉤晡㙣㈴㔷㔸㙤㤴㡢㐶㥥㡤搰㤳ぢ㥢㠴ㄴ㐰愶ㅦ㙡㐸搹摤愱㤷㐴㤷㌵㑦搸ㄷ戶愲㜵㠳㉣ㅥ㉤攷搰捤㠹扣㕥敥㕤㥢㉢㉥つ昶㠵ㄳ挹㠶㉢搱扢㈶户搵挸攷㡣㑡ㄵ愵㤱㔸敦㕡㝤㈷ㄲ戱㤰っ愰扥㍣㠴㥡づ〵㤹㍤㠲㥥ㅢ㍤ㄹ愳㘷昹改㍤㐶愱㈷ㅣ㡣〴㝢ㄶっ㡦攷㡡晡㠹昲㌰㡡捥〴ㄱ敤㝢㌱㝦㥢㑤昱㡥改摥戱㤴㜷㉣敤ㅤ换㜸挷っ敦㔸搶㍢戶挵㍢㌶敥ㅤ换㜹挷捥昷㡥㙤㐵㑤晢敡散攸昰㕡搷㉦㈷晣㈷扦昳愸㔹慢摦㝦㑥昲捡昱㕤㤷摥㉣㌸㘵搵㡣㍦〲㠹㠵㉤㕤ぢ㌵昶〵㔹戳㉦㤱戸㍣ㄲㄵ攴㔱㈰摡㉣㤰㔹慥㝤㔹扥㜹昰㐴昹㌶ち捥〶ㄱ攲昷攸〹㝢㜳摥ㄵ㔷晤攵攳㍤㍢㔶摣㝤晥挳晤敢㕥扦昸㘹挱㐵㐳㤹㜱っㄲ晤慤㘶㌴㈰ㅡ戶㡤〸㌶㕥㔱㌹㠷㑤捤〵搱㝡㐰收㤸㌶〱摣㔱愳㤲搷㕢㈰㍥㤶搲㙦〷ㄱ攲㔷㤶㘱㉢㘷晥愶晢愸㠱扦慦晤晣㘱㑦摣晤攸捤挹敢〵ㄷ㌲㘵搸㍣㈴收㌷ㅢ收㌴换㌲㉡ㄸ㤶昳愹昷㜸㄰敤〴㤰㤳㠷换㐶㈵㥤㉢㘰㥡㤴戰搴敤戹㈳㍤㤱㉦㔵㝡㐶㑢㔵㍤㔷改㔱摥敥搱慢㝢㙥㔵敥㕦ㅣ㕥㉣ㄷ戰晡㠹㈰㐲晣搴㌲敢挴㥢㡥搳㉦㍦攱ㄷ敢摥晦昶㐷㍥昳搲扡ㄹ㕦ㄷ㕣㕡㤵㔹ぢ㤱㔸㌰㤵㔹㝤㐱ㅢ慥㘰㑣昶㔲昵㈲㄰慤て愴昷㐰㉣㤳㈷戳㙥㄰㐴㠸㠷㉤戳㔶㥣昷捣搵㐷扣㙦敦扡㡦っ扤摡搱晢㙤㜹㠹攰㘲愲捣ち㈳㜱㍣㘶挷昲㥤搵戲㔱㌰㥣㌸昵㐵㝡㐷搲㝡摥挰㡣〸㐶㘲搱愴㡣㔰㜱ㄴ㐴㡢㠱ㅣ㍤㤹搳搴㔸㡡㔳㌶〱㈲挴昷㉣㈳慥扦晦㤱攷㙦ㅤㄹㅤ扥摡㍦收㍢㘷㤳㜸㔵昰㘶愳㡣㐸㈲㤱㙣挶愶㉦ㄸ㙢戰㈶㘴昹㉤ㄴ㙢ㅣ㑣㘱戹㤸㙤㉤〱搱摥〱㌲㜷㔲扢㈶捡愵㙤㤸戰㑢㈹晥㑥㄰㈱ㅥ戴㑣扢散㌳摦㜹攵㕤愱慥㔵㕦摥㝥摣敡ㅦ摣扣晤㈹挱㕢愰㌲敤ㄴ㈴㕡㘷㕢㌸搲㘰㕡㈴㘲搹ㄶ㡤捡㐱㔴㤰㐳㈰摡㌰㠸〵㔲搳捡戱摣戲㘴ㄹ㘵㤷㠳〸昱㌵换㤲㙢㉥㥤㌷㜷敥愸㔸㜳敦搵㤷㝢慦晢昰ぢ户㑤㕢㠹攲㡤搶昲戶慣慣敦挰つ愳㝥㉦ち昷挱㌷晢㜳ㄳ挶㍤㌸ㅢ换㈶戲愱㔰㈶ㄶ搴㈳扡㡦ぢ摣晥慥昶㤴㥤㤶㍤㈳㔷捣㤴㜶愸攵晦攸㈱扤㘲搴敦〶ぢ慤戲愱搲㐴㌱㔳㤹敤㕥㌸㔲搵慢挶摢㥡换敡㑡㕡慡㡤攰收㘸㔴㔴㝢㜳㥡慢㥤慥攷㈷㡣挱㥤㌹戳昸㤸愶㘲摣ㅡ㑢愹挹㑢㔷㤴㡤ぢ㙡愵㉤ㄶつ㘲㥢戵㕤改㙥改愵㔹㘴摡㠵昵愰㔴㌱㡡捡扣㠵㠵つ戹昴㔶愳㍣㘲㜰㤳㘶㘴㔴㔷て㘷㤱㜵㝦㕥戸扥㠸㡥攲㡥㥢㜹扢㤳㥢挵愴㌳㡡ㄹ㈳〳㝢户ㄹ攵敡慥㔱㍤㤵㌷㡥㘸㄰㌱摢㐴挱慣〶昶㡡㔲㝡愲㌲㕣㉡㔶换愵㝣㘳挹㘰㘶扢㡥㍤㐱㘶㙤㈹㘳攰㤶摥捥换㈳㍣㙤㙤㐲㜸㑥㜲扢慦㔲㙦愵㑦㌹挲攱㘲摥攱㡦㙡ㅣ㜶㝤㥢搰㍢昴㈲㙦㜰㑣㝡攷敤㐳㤹搲㑢㌵㈷㑥㉥攸攸ㄳ㜷戴㤴㕥㌰戹戴戲戱收戹晦㕦㘱慦昷㌰慢昷换户攳㠶㜰慡㕥捣攴㡤昲㤴晢㜱㐱㡢攴愹㈰扥晦挲㙣㥥ㄴ㍤摥挹挵㑥戱换户㈳㤷愹㡥㙢攳㐶㙥换㜸ㄵ㍣散搹㍢㍢〹㙤换㈵㑦〳㑢慥㈶㔹〳攲昷㝢戴戵ㄴ搲晣㜲㥤㤹昷㜱慦㜲攰㍢㌲㐶〵㔲敤〰戱㕤慦昸ち㉢㑡攵㑡㕢㥢㕢㉦㑦搵㉢攳㔵づ捦㈹ぢ戹昷㤲敢㐹㌶㠰昸戸㌵摡攷㠶㡦㕢戵㜶敥㙢愷ㄷ㤶ㄹ㔹ㅤ搱㠴㥡摤㐲昷ㄵ捣つ敡㌲摣㤵㈵㜷戲慢㌰㔷㜶㙡㐸㘱昲㑦㉢㜰昴ㅢ㍢慢换昴慡摥㔱挰㥥ㄸ㕥㤲㄰㕡愸㙡㤹㈹搶㥣慥㜸㜶㙤扦㤵㠳㠶㠰㑡㍡戴㜴㈹㠶愹〹ㄳ〷昳挵搳㘶搱愹㍢㐱摢搱〹慤㜹愰㌷敥㙤戱攵捥慣㌴㡡愳扢戶ㄹㄵ㡡㜷㙡㔳㐲搹㍣扤愸㙣㝤㍡戵戹㥡换㔷晡㘰改捡㜲㘹㘲摢㥢愹㠷扡攴㐶㄰晢昲摤㠹㔱扣晦㝤㘲扣摡戱㥤扥ㄹㅢ昳㜴㔲ㅢ㌹㤲晢㘷戹ㄶ〴捡摥挰㤷扡攴㘶㝣昹愷㉡昳㜱㐷㝤㈰㜱〰㌷愶搳ち㐰㘸戴㙣愸挸愶㔳㘵㠰昶昴挲ㄹ愵昲搶㔴愹戴㤵攳㘹㠶捡㔵挶つ愳慡愲〵㉢㍡㔲㔱㤰㄰㙤㙤つ晢㜷㐷㔸挱㌸㐳㍢ㄳ攴㤸搱㔲〶摢㐲晣つ㤶㉦㤸挸㙤㐷〲户昷搱戲㥥搲昳攳㈵敤摤㄰㘹㐳ㅣ愳㥤㠵㐴搷〶扤㔲搵㐳㝤㍢昳㤵㥤攲㈶〰挰㍤昵戳て晣㙥搱㕦攳㤹㤵户慦昸挸昷挶攳ㅤ扢挴㙥慢愰㘵捦捦㥤㍢㙦扥昲㕣㄰㜱㈳挴戸戰㈰摤㜸挹昳㤰㤷㍡㐹ち〴换㠳〲ㅣ慢㐳挶捣ち敥晥戹㐲㐸㠳㈴ぢ㈲戸搹㔷愱换ㄶ㈴散㑢㝣〲晡改㜶攵㍡㠶ぢ慤慥㘳挰攲㤷㔳㤴〹㠶㄰㜴㥦㈴㕣㤲㠰㐸㠲㈱慥㠲㘲㔷〰慥戴ち㕡愲つ㠶〹ち〰慥㡦攲愳㄰㜳〷㘰㍢摢搸㐱戲ㄳ挴〱挰㠵㘶㔶㌰搴㔰〰㕣㐴愱㡢㐱挴戱㈰ち㠰昷㈰㘱㕦攲晤㘸愳〶㐰て搸慤〰㕣ち慥㕦㑥㔱㈶ㄸ慡戸〱戰㜳㌲〰㜶㔸〵㉤㔱つ㈳ㄴ〵挰攵㐸㠸㠹㐹〱戸〲挵昲㑡㤲慢㐰ㅣ〰㝣摣捣ち㐶㌹ち㠰慢㈹㜴つ㠸㘰昸愲〰戸ㄶ〹晢ㄲ㜹㈷〰㈷㠰摤ち挰昵攰晡攵ㄴ㘵㠲㐱㤱ㅢ〰愹挹〰搰慤㠲㤶昸愹ㄷ㥡ㄴ〰㌷㈰㈱挶㈰收㍥〲㍥㠷㘲戹㥢攴㈶㄰〷〰㌷㥢㔹戱〸摦ち㠰㉦㔰攸ㄶ㄰挱㐰㐹〱㜰㉢ㄲ昶㈵㑥㐷ㅢ戵ㄱ挰攸慢ㄵ㠰㍢挰昵换㈹捡㐴㄰ㄲ㙥〰慣戱晡搹戲〶慣戶ち㕡㈲戵〸㌴㈹〰敥㐶㐲慣㥡ㄴ㠰㝢㔰㉣敦㈵昹ㅡ㠸〳㠰㙦㤸㔹ㄱ挵户〲攰㍥ち摤て㈲ㄸ愴㈹〰扥㠹㠴㝤㠹㔳㥣〰㌰搲㙢〵㘰て戸㝥㌹㐵㤹㘰攸攷〶㐰㝣㌲〰㘲㔶㐱㑢㤴戸ㄸ㥡ㄴ〰て㈱㈱㈲㤳〲昰㐳ㄴ换㠷㐹㝥〴攲〰攰㔱㌳㉢㤶攰㕢〱昰ㄸ㠵㝥っ㈲ㄸち㉡〰㝥㠲㠴㝤㠹㤳㥣〰㌰愴㙣〵攰㝦挰昵换㈹捡〴〳㑣㌷〰㝡㈶〳㘰慥㔵搰ㄲ㡢づ㐲㤳〲攰户㐸㠸㘳㈰收㍥〵㝥㡦㘲昹㈴挹㔳㈰づ〰㥥㌶戳㘲〸摦ち㠰㘷㈸昴㐷㄰戱っ㐴〱戰ㄷ〹晢ㄲ㌳搱㐶㙤ち㌰㡣㙤〵攰捦攰晡攵ㄴ㘵㘲㌹㈴摣〰昰㕢晤㙣㤹〲搲㉡㘸づ㠱㝤愷㐲搳〱㠴㉥㙡ㄳ㥡㍤㍤㘷散攰㕥㙢㐶ㄶ挷㥤挳ㄳ㤵㙡㐹㙤っ愷㘷㤷㤵搶㤵慡换㜲㤵㙤㜹㝤搷㘱㔹㉢㜱挶戸㔱㐴搸㔶㐶昴搶挴㉢㙤摢㘶㘴㘴㜶愴㌴㔱㑥ㅢ慢㤶扤ㄵ挲㍡挰〱搷愹㠸捥㉢㜰ㅤ㕣愴㠲㐳〷攱搱㕥㠲慡敥搱㠹㑣愹慦㝥晥攲挷攵昱㌱收㘸摥㠴慡㠳㔸㐷挰愸㤲ㅣ㥢摤㜵㤴㐷㜳搵扣搱㤵㔵挱㥡㑡㜷㘶㠱㉣攲攳㑣㐷㜶㜴ㅣ㥢戳㘵搳戳㉢换戹㑣㍥㔷㌴攸愰㤹愶攸ㅡ㘳ぢ㘲攱つ愵㑡㡥㘷摥搳戳搸㔰ㄵ㉢摢戸慤㑦敦㍡戴㈱愷昶晦扥散㔰慥㔸㐱㌳捡戳㑣㜷㘷㐷挶㑢㍢昰愴㘴愲㔰㕣愹㙦慢扣㈵㍣挵㝤㤴㜹㈹㜷〹慦昰㝡㐵愷户昳㘰㝤愶扤っ㙤戳㌰㘸慢攵㕣㙡㈲户攷ぢ㝢㜶㤷戰昷戴捦戹㔵㔳㍣搲㙢㈷挱ㅡ㐰㐷慥㐶慡㜹ㅢ敦㜰㘴㔳っ㑥㡢ㅢㅥ㉥戸㠶㠳戵㠷㔰搳㈰㉥㕦㘱㥤㔷㐱㑥㕢戹㜹㔵晤㜴敡㥦㝡㑣攴㕢〳㝤晢㝤ㄸ㜰㌸㠴㘷㤸〳㠹〷〴ㅣ㔷㤸戳ㄸて捣㌵て㑥㝦㔶挹㜰㥣捥愸㈷㔷㈰㥥㥣㤶㕤愳愷㡣㍣挲攰㠲㕥㥤㘱㘶㜸ㅥ㔱搰昳ㄵ慢㙣戸㔴㈸攸ㅣ㜸㝣ㄸ愲捥㐷㍢戳㠳ㄳ搵ㄲ捥㔰㘵ㄶ㐴㡤㑥㡢愵敦〴㑢摦㘹〶慣搹㑤㍣ㅥ㔳㘹敡㉡㙤搱换戹敡㜸㈱㤷敥㘴㠶㐷㔸㙦㠹ㄱ㡢㤵愵ㅤ㘰摡㤷扤捡㌴㐷挰㘶ㅣち㜷昷攱搰㠸搰搱晤ㄸ搷㕥愱攱㥦㌸挸搳ㄳ慣㐹敡㔶㈳㕦㠳㌶㥦ㄷ㠴㡢㤴扡㥥戳㥦㡣㍥㜷〹㌸㙡㘴㡢㜵ㄴ挰㐷扥㙥㈵㤸㘹㕦て㌲㘵㘸摤〱〱晦㥡㤲㥥㔹愱愷昱㘰戳挳㝡慣搹〹搷㜲挱㈹〷㜸搸㌱㡣昳㌳㥣换㙤捦㘵㡣㜲㈷ㄹ㈳㜸挲摡捥㘳ㄲ捤昴㈱挲扣㌶㡦捦搷搵改搶搶㉡㕢搷㍣㉢㠴㜴㍥挱㕤搵愲晦搹㡤晤〳㐴摤敦愷㙤㤲㈱㥥㘴捦挴〶愴搸㥦㈶〱㠲㈲扤㈰扥㡤㈸㙣昶㑤攳戹〳㑥㈷㜸搰摥慥ㅥ〸昲㐴愴ㄳ愷〷敡㈸挵愷㍡搲攵㌸〲搱捣搳㡦㑥晢㈹愳愶捥搲㌳㝥㜳㤵攵㔱ぢ㕢昶㝡摢攱㙡慤昹昸戸愵㔹㈸㉢㡣ㄸ敡㙣㐴㑣㠷〹㕡ㅢ㉡晢㌹㔹愰㝦㙣㜵戴㘵㔷攱昷㑢ㅦ㐴㍣㝥戱ㄹ搴敥㌷慤户㠰搱㔰㉡㍢㐰挴戹㘰㜲㕦㘰摥挵㍡挱㜲扤㡢㠹昳㈰挲㍢㤹㐷㤳㤰㌹戰㤵㔳攸愸挷搵㔳晡搹㘴ち㈹㉥㑡戵㐱㍡つ摣㝤て搲っ㙢攰㈳愷㔳㠹㤵ㄱっ挴敤づ㤲改昷户㔱㘶〶搲戲㥢㠲っ搲㕤〴〲ㄴ㌸㠴〲㕢㈰㐰敦㙢㠷㈲搷㔵㐳㌵攴ち敢㑣挸〰搶慤づ愵づ㔸て愷搲㈳愸戴ち㠱㍡慣㐷㠲攵づ㉢〳㙥ㄳ搶愳㈰㜳㠰戰㌲㔰㔷戰捥㘲㤳㡣搸ㅢ㘰㥤つ敥扥㘱㘵㘴て㐱㡦㍣㥡㑡慣㡣㘰㜸㙦愳收㤸㔰挷㐰㐰捥愱㈰㐳㝦ㄷ㠱戹ㄴ攸愱〰㑦〳ㄴ慣挷㈲㔷ㅦ慣㌱户挱㝡ㅣ㐴㠰敡愵づ㥤㝥㜲捣㔹㍣て愵㜲㍥㠸戸ㅣ捣㍡慡挷㠳攵㡥敡ㄵ㤰㌳㔱㍤〱㌲〷㠸㉡愳㝦㠵敡〲㌶㜹ㄵ㜲つ愸㥥〴敥扥㔱晤㌸慡㐱搰㈳ㄷ㔲㠹㤵ㄱ㔷㈳㘱㠳㠶愴㍤㔸㝢㈱㈰ㄷ㔱㤰攷〹㉥〲㝤ㄴ㌸㤹〲搷㐲㐰愱ㅡ㐴捥㌱㔸㈳㙥戰㠶㈱〳㔸㜹捣㘰㉢㜵っ搶〸㤵㐶愹昴〶〸搴㘱㡤㠱攵づ敢攷㈰㘷挲ㅡ㠷捣〱挲扡ㅢ㤵ㄵ慣〹㌶㜹ㄳ㜲つ戰㈶挱摤㌷慣㍣㠴㠰愰㐷㉥愶ㄲ㉢㈳㜸ㄲ㘱㜷㤰㑣㙢つ㔸㠲戴㝣〷〵㙦㜱ㄷ㔸㑡㠱㜷㔲攰㔶〸㈸㔸〷㤰慢て㔶㔷㔴〷㈱〲㔴㜹㜶㘱㌷敡㐰㜵㠸㍡㠷愹㤳攷っ㜵㔴㤷㠱㜵㠸㡡て捣㈷挴愵㥥戵㝢敥㈸㥡户㕦ㅥ㌹㤸戸㉥㠷搴㥣愶㕤愹㔳㍥㔷㈸㐱搶攳㘹摡㥡ち㥥㔷㈸㜰㔷戰㘵ㅥ㕣㌴㠰㝢㉡戸晢〶㤷〷ㅣ㄰昴挸㔵㔴㘲㘵〴㑦㌹散㝥㤲㘹㠱㝢ㅡ搲㜲㌵〵㜹〲攲㈲戰㠶〲㙢㈹挰㐳ㄱ〵敥㍡攴ㅣ㘳搶㜵㈹搸〰ㄹ愰扢挷愱搴㠱敥㐶㉡摤㐴愵て㐱愰㡥敥〸㔸敥㘳㤶愷ㄹ㈶戶愳㤰㌹挰㌱晢㌰㉡㉢㔸㌷戳挹ㅦ㈱搷〰敢ㄹ攰敥ㅢ搶㐷㔱つ㠲ㅥ昹㉥㉡戱㌲㠲㘷㈷㌶㙡㡥〵昶㑣〸挸㜷㔳㤰攷㉡㉥〲㘷㔱攰㙣ち昰愸㐵挱㝡づ㜲づ㔸㠳㙥㑢挱ㄸ㘴〰㉢㡦㕢㙣愵づ㔸捦愳㔲㥤㑡㝦ぢ㠱㍡慣㈹戰摣㘱晤㍤攴㑣㔸搳㤰㌹㐰㔸㜹戶愲㘰捤戰㐹ㅥ戲㌴挰㥡〵㜷摦戰㍥㡤㙡㄰昴挸㉤㔴㘲㘵挴㌳㐸搸ㅤ㜴挰㍡づ〱㤹愳攰ㅦ摤〵捥愷挰㔶ち散㠵㠰㠲㌵㡦㕣㝤㈹㐸扡愱㕡㠴〸㔰晤戳㐳愷〳搵ㄲ㜵㙥愳㑥挶㜵ㄴ㤵ㄷ㌰㠷〴昷㈸㍥敥捤㥢户㥣㉤攱㠰敡㐴㤶㠱挱㐸㜵㔷ㅥ挱ㄸ㤳摣㠲㥡㈹㙥愶晤㡡㠷㡤㜱愹㡣㤷ㅤ摢㥢㥦㤷搶敡慥㐴㝢㕤㌳㥢㥥㐵慢㙡㉣㘱摣攱扢敡昵搶攷慤戵晡㌴扣晥㘰㡡㜵㜸㘹ㄵ昰㘷慥捤愵换愵㑡㈹㕢敤ㄹ挱㜱㐳て㥦敤㘳攳ㄵㅣ昴㕤〱㡤慥㙤戲㘳敤㐵扥㌹户㥤捦扡晣㕢㡢愵ㅤ㐵㘵㡤て㡦㝡慡〶㕢㤳ㅤㅤ㙣挶㡦㡦扡㡥〳㜸〱挶㈸慣㉣㈷㈰㌲扤㉤挰㑤㍥昱搴戶㈳㍦㝦㜸㘸㜸搳㔸㌸ㄴ㌶㠲搱㘰慣㍦ㄹ㌲愲挱㈴摥㔶ぢ挷㌲昱㔸㈲ㄲ㡡愶㐳昱㤰慥敤愸㠹〶ㄳ㜱〸㠴攲攱㐴㈶ㄵ㡤㐴㤳扡㥥㑣㐷㡤㐸㉣㥥攲㡢ㅥ㤹㤰戶戳㈶ㅡ㐹攸搱㘰㈶㤴捥㐴㌲晤㔱摤㐸昵㘷攲攱㔸㈴㥢〸㈶㘲㝡㌴㤳搵〳㜴㉤㉤㤱扢㤰㤰ㄷ㤲㕣〴ㄲ攰㕥㕦昱㉦㈶敢㍤㈴敦㈵㥦㠱㠷攲㔳慡㕥挹攷㐳㜶㝦㠳〲㈲㈱㔲㈲㉤㌲挲㘸敦攸㄰昳㥢ㅥ晢户〴ㄳ戵攷愶㥡挶㔸挲昷㕥㌸㘸晦㉡挱㉡㠷晦㔹搹㡢㡦晣〰㡤晦ㄷ㄰㝦㠰㘱〵つ搲㉥㐳攲搰攱愱㌱㍣扦㜳㍥㌳搴㍥〸晥㌴昰㔵挰㠴㜷㌱㉢摡㠷挰㤹〱㡥攳昴㐴晢㌰㜸㠷㠰搷昸扥㘵㠰昱㡡㜲晣㔹㙣昶㄰ㄲㅥ㤹挹㉢挰ㄷ㉡戲㘰敥㑡收㤰㈰戰㘲ㅡ㔲㥣㘶愲㡣㕥㜲㜰㈳敤㤱ㅣ戱ㅣ㥣㘲ㅢ㌸ㅣ愰㡤〳㡣昱㠵㙡攷㙡㈴㌰挰ㄸ㑢戰㠶㜶つ愸㌹挰㈲㝡㈲搸ㅦ㐹挴㠲戱㘰㉡㙡愴㌳㐹っ慡㑣㉣ㄱて㘷㡣㔸㌶ㅢ㑦〴㔴攸挱戶慥㐵㥤〰㠳つ㙡㤰搷㌱愷愲づ扢㑣㌰愲愰挳挵昹㌰㠴捥㔰愰㕥て㡥晣〴㠸㍦挰愰㐲㤹㐳㔰㈵ㄱ㤴〴㑤ㄲ愵〰㠳㡤㍡㈶㐷㔱敢㤱㈴㌷㠰㉦㔴㔸挰摣㡤捣㈱愱㍥戳㐱ㄵ㈶攷愲戱㔶㑣捥〶户ㄵㄳ〶〷慡㥤捦㈳〱㑣ㄸ〸㄰㘱敤㘶㈴㑣㑣愲挱㜸㕡㡦㈶㔳㘹㈳㘶㐴㌳㝡っ挰㠴攲晤改㙣㌲㥤挹㐶挳愹慣昶㠵㥡㘸㕡㑦挵挳㘹㍤㠸㠹㠴㤹㤳㑣昷愳㐶摣㌰㔲愹㜰㝦㌴㤱散㑦㘹户搴㐴㈳昱晥㜰㈸㤹改て昷愷㤳搱㜸㕣搷搳㤱㤰㤱㠹㈷㌰㥢㤳改㐴扦ㅥ㘰㌴愲㈶搱慤㐸挸摢㐸㙥〷〹㌰ㄲ㔱晣㉦㤲㜵〷挹㥤攴昷搸晣㐶㜹挱ㄸ㐴昹㘱㥤搳て㕦㘵扤扢㐰晣㠱㜹愰㤳晡㘱扥㕤愸挶收㕣㠲㍥㠷攴ㅢ攰㡢〵㈴捣摤㘷㈵搴搸㍣〹ㄹ攵㠷㈱㔷㍦㥣攲敡〷㠶ㄳ捡㠸〷㤱㠰ㅦ㝡昱挵㉢戰挸㑥昴搹〹挶ぢ扣〴挳〰搵戳㜷㍡㝢戶〷㕣昹㙤㄰㝦㈰〲㍡㘹捦愲㜶愱敡搹昱㔰㘸扥敥昹㄰昸㐲敤攵挹晡〱㜳㐸愸㥥㜱㉦慦㝡ㄶ㜶敤㔹搰戵㘷摣搱㉢㈳ㅥ㐱〲㍤㕢㠲㉦晣㜹戴㐷㐱捤ㄱㄶ㑦愴㘲㔸愲搳㐶㝦㈸ㄹ㑤㈷㔳㈹慣搵㠹㑣㔲㑦ㄸ挱㐸㌸㥢㌴〲敦戰敡挸挷㤰〸㉣戵㜳㍦㘶㑥敤昳㘹㉡换挴㈰㠸挲攴㈴㈷㈶㍦〳㔷晥ㅣ挴ㅦ攰㍥㝥㔲㑣㠶敤㐲㠵挹㈲㙡敤㈵㜹ㅣ㝣戱㠲㠴戹㈷慣㠴挲攴㔴㘴ㄴ㈶㜳㕣㌱㌹摡ㄵㄳ㙥挴㤵ㄱ㑦㈲〱㑣㑥戳㌴㙡㑦㈱㘱㘲㠲ㅢ㔵㌰㠴愹ㄱ捥〶昵愸ㅥ敢㑦㈵攳㤱㔴㉡ㅤち挵㔳㔹㑣慤㔴㐰敤搱㘹捥ㅦ㔰㈷戰挶搲㈰㥦㘶㙥慤㥤㘳㤹攰搶㕢㘱㜲㠴㠵〹㤷㐵戹ㄷ㕣昹㉣㠸㍦戰ㄱ㜴㔲㑣戸㉢㔷㠵ち㤳㈸慢㐶㐸㕥〰㕦愸晤㌳㜳㉦㌲㠷㠴挲攴っ愴ㄴ㈶㝥㔷㑣㍡㕤㌱攱㉥㕡戵昳㌲ㄲ挰攴㑣㝣㔱㥢昶ちㄲ㈶㈶㠹㜴㝦搲㐸愶戰㍡㘴昴愸㤱㠹愶戲㤹㔴㌰ㄳ搷㘳㤹㘰㌸㥡㑥㐷戵㔷㙢愲㔱っ愸㘸㌴㡣㈱ㄵ㑢㐴つ㈳㥥㑡㐶戳戱戸㙥昴㈷愲昱㐴㈴㘳㘸晦愸㠹〲搲㐸㌴ㅥ㡣㠴㤲㐶㍣摡㙦㈴晢挳㜱㌴㤰㡣㘷搲愱㘰㈸㤲㐸〵戸㙤愷㈵昲㌵㈴攴敢㈴㙦㠰〴捥戲昹扣㕦㑡㐱攲〵〹㥣㙤昳㤵㍣㐵㔵㈵挱扤扡昲挳㉢慦㌹敥〸ㅤ慣搷〹攲て㥣〷㠱㐹晤愰摢㠵捡て㑢㘸捦㘲ㄲ晥㜲〵㥢〴ㄳ㝥㜹〸㜳㘰㉢㍦㘴㤱㔲㝥昸ㄳㅡ㙣扤㈳㍣ぢ㙥敢ㅤ㘱㡢摤捥攱㔰〵㍦㡣㈳慦晣㜰〴昲愶ㅦ㌲搹㡣㥥㑡ㅡ㐰㔶捦㐶㤳挹㘰㌲ㄶ敢㑦㠷㔳戱㔰㔲㌷㡣晥㔴㕡㍢戲㈶㥡㡡ㅢ愹㜸㌶㥤㌵戲㠹㜰㌴㥣㐹㈶搳愱㔴㌰ㄵ捡愶攲挱㘰㈴㘱㠴戵愳㙡愲㠶ㄱ㡡㠵㘲㤹㐸搴㠸㘷愲挹㜸㌸ㄹ散搷攱挴ㄸㄷ㠳㘸㌲ㅣて㜰㥦慦晣㌰ぢ㜵攴摢㐸㘶㠳〴捥户昹㐷㤳㜵っ挹ㅣ昲户摡㝣㈵慡㉡㔱㕥㜰㜷慦晣昰㙢愷ㅦ㡥㘳扤㜹㈰晥〰㌷昸㤳晡㠱ㅢ晦晡㝣ㄸ愲ぢ〶㐹㝡㔱㌵㜰㠱㕤戸〸戹改㙤㍥㙥㘵㤷㌴敤摣摣ㅦ㉤㉤㙣㝥搷㜵㌹摥㕤摤〵㉤㥥㌶㥣愹㥢㈷搱敤摥挵〷愷㡢㝢挳㘹㔰挵㡦敦㔱昴晡㥦搰㠳ㅥ㌹㜶㡢搴愸敥㡡㈷挳㔴摦㉥ㄴ〶摤㑣㥣敡㘷㉦ㅡ㔴ㅣ㕥㔸㔵挱戶ㄱ㍦㥦ㅡ㉤つ搶㝥㝢㜳㠸扤㥤㕣㘸扦㠲㌹扦捥ㄹ㑣㔵昰㈸戳㙡搸搵搶㤷㙢昵昰㑡㈳㈲てㄴ㉣攴ぢ㥢㠷搷㜳㡥㤳晣搹㜵敥慡㘲〵㉦ㄷㅢㄹ㕢㘳〵〷搸敤摥㌶攱晡㜰捤晡㤵つ㡦敥愹つ慦ㄷ慦捡捣㐰て㘶扢㍣挷ㄸ捡㔵搵㜳挰㉥㤴ぢ挹㌰㐶ぢㄱ愶愵昳㔶捦㡢晡㝥〸㍦散㜷ㄳ㡤愸戳㐱捥〴扦㡣㐰㥦㘰㐴㐲攸㠵摣挱㌶㘲攰昹㔵ㅢ㡢㠲扤挱㠴昸㍥ㅡ㘲㘳㘰愳㐶㠲㌵㉥慡搵㘰ㄸ愴㈵㙢㌵ㄶ〶㝢㐳㜱昱㕤慢〶挷戹㕦㉥㘱㡤㡢㈱㐷㈵㘴㠹昷㔸ㄹ戵捡㌰攴戱搵㜷㌳㘸愰㐳昹㜱㕣捦つ㔸㤹㔳捣敦㑥敢㍢㘰㝤捦㍣愵㥢㤱㠶慡㜹㡥㌸昶㥡㐱摦攳㤷㝣昶昹摢㤶捣晦昴㤷摥戰扥㉦搹扢昱㥥㌹㤷敤㝤㘴㈰慢慥㥦づ㙣㘲㜶攳攳〳攲ち搴㜴㝢㤱攲㐱㤸敢晡㍡摤〳㔶㐱昳晢㠴㠱㉢愱㐹捤敤㐱㜴㜹㝡㥢戸ㅡ㜹㑥㘱㜱㍦㙡㜰摥愸愱㍥㑣㍣慥〵摢挴㥣搱㠳戶ㅣ㍣㡤㤸㠷晡挵搷㈰㐸㐰㑣て慤愴昴㜵㤰戱㔹摤搷戳〲㜰㌸㜰㡣ㄸ㌸㑣㠹搱㥥ㄷㄷ㥣晤戱㙦㝤㘷挰晥昶晦㙣昷戶愵晥㥦つ㠸ㅢ㔰搳つ愳晦㠴㥤慥ㄸ摤㘵ㄵ㌴扦㜲ㄸ戸ㄱ㥡ㄴ㐶㙢㑤㡣㍥㡦扣挲攸㉢愸㔱挳㘸㍤㝢捤㥤戸㠹ㄱ愳〹㙤㈳㜸㤲ㄸ挵㌹捡挴㥤㤰㈷㈶收㈰ㅢ㘱〵敥昲捤ち㡣㈹戴捤攰愹挹ㄲㄷ户㔹挲㈶愶㘷㔰昸昶㥡昰㉤ㄴ㍥戳愶ㅤ愳㍥㈴㙥戶㉡㠰㡢㈱㝣ㄶ㉢㝣ㄱ㘲㜶㠳攲づ㉢愳㠶㌰〳〸㤶㔰戸晢慢搴㜶㔰敥戹换慥㌹搹㄰晥昷㑦昲扡㜷挰晣晥敦㠱㘸㠴搷㘳〳攲ㅢ愸改收㥥ㅢ㘱㤴慢㝢㙥戰ち㥡㕦㠸っ摣〷㑤捡㍤㍡㍡㠳㈱晣㈰昲捡㍤㥦㐱㡤㥡㝢搲㈸散㘶愴㜰㜰ㅤ㘵㜸㌱攵㌸〴㝣つ搷㐵㌳敦㕣昹挴㠵搷つ㠸㠷㔰搳慤愳㥦㥣慣愳㥦戰ち㥡㕦㝣っ㌰㌲㔱ㅤ捤㤹ㅤ㘵㜸愱㍡晡㙦捥㡥㙥㐵愱㘰㘴㘰づ㉢挶ㅣ㕡〱㍣㌵慣㈲攲ㅡ挸搲昱收戰㉡㔱㤸㐱㠵捤敡㘶攰㜰㜰㄰㌱摡搸㉦㠸㙣㘸捣㌱㜱敢㠰㜸ㅣ㌵摤㈰扡搲㐲愲攵扤戰㉢慣㠲收㔷㈳〳っ㔴ㄴ㐴ㄳ㈶㐴㑦㈲慦㈰扡ㅣ㌵㙡㘳㘱〷㝢捤㐰挱㠴㠸㈱㠸挶㡤㠷㕡捥挲㐱昱㐱〸摢㤳挳㉦㉦愲㌴㠳っ㥢搵捤㐰挲〷㙦戳户㡥㙢昲㈵扦㥢㔱㠷慡㌱搹㍣㔱搳〲昳攲㥣换㙦晦晥晤ぢ㍦㌷㈰ㄸ㙣戸㘱㜲改㘴㤸扣捦㉡㘸㝥㕢㌲昰㈲㌴㈹㑣㉥㌵㌱㜹ㄹ㜹㠵挹㝢㥤㤸㝣㠰扤攴昶摤挴㠴㈱㠸㜶ㄹ㜸㕤㙡㠹㡦㘰晤ち挶挴㠵ㄶ㌰㔴攷㤷ㅦ㘲ㄵ〶〷㘶ㄵ㠶㈲摡㐷敡㔵㜸㉢㡥㠹敤㔶ㄵ昰㔱攵愳慣挲昸挰慣挲㤰㐴扢ㄲ㍣昳㐶ㄲㄱ㘵㑢摡ㅣ㥤ㅦ愳㌴㐳つ㈲捦㌶昱ㄶ㐹㝤愸攲扤㈹㠷㑦ㄸ㔴ㅣ摣戸㘵㈴㌲攵戸戵挷愹扤㤶㤹㙢搸㥥〱挱㐰挴捤㐷〵㤸敢扡㠶攵慤㠲收ㄷ㍡〳っ㘲㤴㡦晥ㄵ〹慣㘱㠷攳㑢昹攸㝣搴愸㡤摢敢挱ㄵ戳㐰㑣昴ㄸ㥥㘸㥦㈴㔱㍥ち㠹㉣㠴敤㠹散㤷㥦愲㌴〳〱㔳晡㐸ち㝥ㅡ挴昴㘸㠸㜷愴㤰㐸㔹㔵㑣㡦㝥㤶㔵㘶搷慡㌰㔲搱㙥〴㔱㝢慢㔰㐸摤㘶捥戵㙡㠰つ㠷敥挶㤷㘰ㄴ㔲㜳ㄱ愳ㄱ摢〸挱愸㠴ㄹ㝣㜹扡㡦〳㍤㌸ㄷ㌱㐸㤹搲㐵ㄷ攰㤶扦㝢摢て〶收㘲㝦㜴捦㥣㥦っ㥣㠸㍤挱㡢ぢ㝥㌹㈰ㄸ愳戸戹攸㑣ㄸ攵敡愲㜷㔹〵㉤慦㥣㌲扥搹搷㉢愷㡥ㅦ㈸㜶愳挷扥㉣ㅦ㙦㜴㘵㑤㌶㐳ㄲ㍣攰挸攵昳敡搹挰㌴扣〷㔶挶㑦〴搷攰愵㐷扣晤㠵㕦扣㕢㠷挴㜸ㄹ㤲慦搵搸㙦ㅡ㐹㤵㘳㘵㉤扢扥㡣㔷㡦㍡戲慢㉡㜸㠱㌵搳㠹㥦㌸㔵慢昸㤵晣㕢攱㈵㌱㍣慤㘹〷㐰戸捣搷挳㕣ㅦ㤴昰〹㠸敢晥摦㝣㝦戴㡥㠷晤换㍦㉦㕦ㅦ㍢戸㜷㔹戵㕢㘱捥慣晡㝢㤰㍤㤹㠶㌷㈴摢挵改㜰戴㜹ㄶ昰㍥捦ㅢ捡㜲慣㌴昲㜶搴㔲扦㑦㔱㘷ち㈰㝥㜹〷㔹㙢㈱愱㠸挷挷戸慦戹㝢㝣㜸戵〲㝣㑦搳㉦昸扡扡散㠷㑢㙣愱㥤戱换㔴㘱ㄳ㤷扤㡥挲㤸捥晦捦愳戳㌰㤶㌷㡡㕢慡攳戵晦挳愳㐳晤ㅥ㔰㝥〹㑡搸ㄴ㍦㈲〱㑡慤昲㍦㐰挸攱㐷㉣〱㔵摣㉦㕢㕣㌰㜱㔲㠸っ㐷戱昶ㄵ㤰愹愰㔹敢ち捤㕤愸搵〴捤摤㘴搵愱ㄱ挳挸ㄳㅥ晢ㄲっ〵㤴㈱昷㈰挱〲㝥挴㕡㔰㘵挸扤㐸㑣㘵挸ち㔷㐳扥㡥㕡㑤㠶摣㐷㤶挳㤰昵挸㌷ㄸ㌲〲㠶㌲攴㥢㐸攰捦㌴攴っ㥢晢㠰㤳㝢㤶捤㝤搰挹搵㤱㔱㐶㝦ぢ㠹愹㡣㕥敡㙡昴户㔱慢挹攸敦㤲攵㌰㍡㡤㝣㠳搱摣攷愹㈶扦㠷挴㔴㑤㈶㕣㥢晣㍥昵扦㥢扥挰㙤㤶挴㉦ㅦ㈲换搱㈴㌷㡢つ㑤㤶挰㔰㌸晤㄰〹晣㤹㌸㜱㌷愵っ㜹ㄸ㠹搹捥搷㌸㕡愶㔵搰搵㤴㐷㔰慦挹㤴挷挸㜲㤸戲〳昹〶㔳㉥〲㐳㤹昲ㄳ㈴昰㘷㥡㜲㈹㔲捡㤴㥦㈲㌱ㄵ㈶㈷扡ㅡ昲㜳搴㙡㌲攴ㄷ㘴㌹っ昹〰昲つ㠶㜰㥦愳っ昹㈵ㄲ昸㌳つ攱㔶㐶㜱㝦攵攴㝥捣收晥摡挹攵㕤㕤ㄹ晤ㅢ㈴愶㌲扡挷搵攸㈷㔰慢挹攸摦㤱攵㌰晡㝡攴ㅢ㡣晥ㄴㄸ捡扣㈷㤱挰㥦㘹㌴㙦昰㡡晢㤴㤳扢摢收晥挱挱昵㜱㈹摣敦搵㥡㈳散㌰摣搷慣晦㤳㠸敦㉥㉦捣昳㝦㈴㜲㝢ㄵ戶昱㔵昱愷搱㡥戸㠳〴㍡攴㌳㔶㠲㤹敥㉦㔹㤹㑥㉥㡣摤㕣攲挸㌶㜳㕣摡㔴づㅣ㡦攰攲愴搶敥㍦㤲捤㜵㐹㘹摢㙢㈵㤴㌶慥㐱戵晡㠲慢㠸慡昱㉣搹㕣㐰㔴㡤晦戵ㄲ慡〶ㄷ㡢㕡㡤敥〷ㅡ㜲㕣ㅣ㙡㘵㠲搳㕢㘹晢ㄳ搹㥣搹㑡摢㥦慤〴㌳㠲昳㔱挹㍣㐷㉥愷愲㤲㜹摥㈱搳捤㘹㔷搷捡㘹愳㙡晣㠵散挷慣㌲昹㔷㉢㐱挱㙥捥㡥㝡つ㡥㙦㔵攳〵戲㌹戴㔵ㅢ㉦㕡〹㔵㠳挳戸㔶愳㥢挳户㥥攳戰慤攵〴〷㥥搲昶㌷戲㌹收㔸㈶晦㙥㈵㤸改收昸慡搵攸收戸慡攷㌸㥥㙡㌹愱ㅣ捤晡㉦㠱㙤㕦〱㍡㕣㙤㝤㕦㐶〲㕢㕦攵挰ㄶ愹扤戶搴慢愶㤴㜲ㅡ愵晥㠱扣㝤〵攸㍣愵敢㌵㔳㑡㌹㠳㔲つ㉤搲㈹㑡敡つ㔳㑡戹愳㐵㡡㙥㔱㔲〲㠳て㜶㈹ㄷ戴㐸搱ㄵ㑡ち㙦㝥㔳㑡挱摥㈲㐵昸㤵ㄴ晦戳㈷㐸㈹㌸㕢愴〸慢㤲敡㔰㔲〱摢㘸㐱㘴㔴㌴昰搲㍦捣㘸㘰〸㜵㍢㠵㐷㄰っ㔵昰昷挶㠲㠰㡤㡡㈰㄰㑡攲㙦㡤ㄲ㠲㝤㔷〵㉦㌶ㄵ戰扢慡攰㠵愶〲昶㔰ㄵ晣戵愹㠰㥤㔲〵㝦㘹㉡㘰㍦㔴挱昳㡤〵㕤晦〷敤搵慢慦</t>
  </si>
  <si>
    <t>㜸〱敤㕣ぢ㤴㈴㔵㜹敥摢搳㕤搳户攷搵晢〰㘵㔷愰㤱㕤㘱㤹㜵捥扣昶㠵㑥㜶攷挱㉥〳扢捣戰㌳㠰㐶㌸㐳㑤㜷搵㑥㌳摤㕤戳㕤搵戳㌳扡ちㅣて〱愲愰㤲ㅣ愳ㄱ攵攵ㄳ㈵ㄸ攳㔱㌴㐶㤴㐷㄰〳㌱㉡㌱扥戳愲㐶㡤㐶搰愳㠶攳㙢昳㝤户慡愶慢慢㝢㘶㘷㤷㌱搹㥣攳㘵攷敦晢昸敦晢扦晦敢摥㈲㈲㈲㤱挸㔱〴晥㌲挴ㄸ㜹搱搸扣敤ㄸ㠵㡥㐱㉢㥦㌷㌲㑥捥㉡摡ㅤ晤愵㤲㍥扦㌷㘷㍢つ㐰搰㈶㜲㈸户攳ㄳ㜶敥搵㐶㘲㘲搶㈸搹㐰㡡㐷㈲㠹㠴㡣愲ㅣ㌱昵㤷昲ㄳ㤲戵㘴㡣㠰㘵㔲㈳㘸〴㘸㑥〰㡣てづ㡣㑣㕥㠳㥥挶ㅣ慢㘴㙣㑥㕦敥戶搷搷搵搵搱搵戱愵戳㜷㙢㐷攷收昴㘰㌹敦㤴㑢㐶㕦搱㈸㍢㈵㍤扦㌹㍤㕡㥥捣攷㌲ㄷㅢ昳攳搶戴㔱散㌳㈶㍢㝢㈶昵摥敤㕤扤㕢戶㤸㍢㜶㙣㙦㤶㘸昹㤲挱㠱搱㤲㘱摡㉢搵㘶㤲㙤㡥っづ㜴㕣㘲㌸㉢搵㘶ㄳ摡㐴㤳㐳㔶㐱捦ㄵ㔷愸搱㌸搷扢㙢挸挸攴戸㌱㠶㔱捡ㄵて㜴㘰搸㔵ぢ㡤搴戶づ攰㕣慥㤷〶㡤㝣㝥扦㘱㜲㌳㕡ぢ㤷搹挶㘰搹㜶慣挲㈵㝡挱㘸㉥㜰〱㡤㤲㔱捣ㄸ㜶㙢攱㠲戹㡣㤱昷戰敤㐴〱㔵㠹ㄴ㘳愴慤攰㙥攲㜰搶㈸㍡㌹㘷扥㠵つ敤搷㡢〷っ愲挴ぢ㝢捡戹㙣㈴ㄶㄳ戱㔸愴㐱㙣慣㌷㌶戵㔵摥㠸㔴㥣㕢戸慣㔹㔴てぢ戵捥づ戵捦㍤ㅢ㤹㜱㉥㌶㑡㐵㈳敦㜵挱捤㙣て攱愹㌵㜲户㘲㘱戱晣〹㜱愳㐴㤳㜷㌶㌸ㅢ㉥㤷㤰捤㠰戲〵㐰㙢〵㜸改㜰㌱㔳㌲ち㔸〲㉢㥤㌵搲晢昴搲〱愳㤰ㅥ㈸㤵ㅤ㍤㥤戱ち改愲㌵慢摢改㐹摤挱㥥攸戶㙣㘳攵ㄴ㠰㠸㍤㠳㘳ㄸ㙣㥤摤㐵㈷昴攸挴㘴㜴㈲ㄳ㥤挸㐶㈷㡣攸㠴ㄹ㥤㌸㄰㥤㤸㡡㑥攴愲ㄳ搷㐴㈷愶㠱攳㠷㐴㘳㘳搴ぢ㘷㥥昵搶攱捤扦昹收慥扦㔸昳敤㕦㥤晤摣㍢㕦㄰攷挹摢㔲㙦慡㠱㜳愷挸愱摦戶换㠵ㄹㅥ昹〰㐹挸挲㤰敤㡣敡愵㠲扤戲搴〰㔲㔰搴㜰㑥扤㤱戹挴搰㙦ㄷ〶愷昴㤲昳㍣挹㈱ㅤ敡㠱攴㌰㤶㉢㜸攴㠰㑥㔶㠴ㄶ戴搵㔸收敥㑢慣㔲〱晣㘹慦㌵㔸㜶晡㍡㍢扡㜶㙣摢搶摢摢扤㘳换㤶慤㕤㍤㕤摢㌶敦㌳昴㈲戲㝢㌷㡦㌹搹㈱㘳㤶ㄸ㜲つ敡挹戵〰摡㈹〰㥢㜶㡦つ愵捦摤㤸捥敡改摤㈵ぢ㜴㌳㙢ㄴ戳戹慣扥㌹㕤搴搳㌳㐶㘹挶㜰㐰㝣㝡搶搸㈴㑦㘵挵ㄷ〰〸昱㐳㤰て㐹攸搲搱㡢㙥㝢㝡戵㍤昲㡥㜵㔷㤵㈳㙦扣晡㍦〵ㄹ㉥昷㕦㍢つ㘰攷㌸挸慥㜸愰㥣搷㑢㥢昷攵㡡㝤摢戶㜴㝡㘱昳摥摣戴㤱捦ㄹ戶搳搷攵攷㜵㜶㙥摥愷捦昵㜵㜵㉦㘰挹㜵㘸㐴慥㘷㜳㉦〲㌸㝤挸戰㘷っㅢㄴ㍤㠲㠱改ㄹ搰㡤㥥戳搳愰昸敥捥㥥㑥㜹㍡㤱捦〰㄰攲㍢摥昰㍥ㅡ戹敦㉤㕦摡昳㡢㝤户晣收㥣昳㥦晢敤㝢㍢攳ㄴ〵㍤愱敤愹换愹㜶㐳㌶㘴㜴摢昱〸㔳㐹㡦ㄵ㘵㑥挷愶挶摤愵捣ㅦ㥥ㅡ搱挹㡡㔰愳㑣㜳昵捦〲搰㕥っ㄰ㅤ攸㤲㘷㌳㘷〳㠰㄰摦昰昶攳㉢摢晥㝤攷敢㠷㥥敡扦攷ㄳ㉦戹收㠱㈱㘳扢攰扡㉡㜲㜹〹㈲晢㐱㈳ㄷ捣㌹㘴㘸ぢ〴扤愵戳㙢摢搶ㅤ㍢㝡扡㍢户昶昶㜴㙥摢㝣㘱㡥㠴摥摤搱つ㑡摦搱搳摢㡤攲摥敤摤㐱㜲敡搸ち㙡捦攸㜹〳挴摥㈳捦攱㈰捥〵搰㌶㌱㌶㘰㠰挲挷挷昶昶换昳㤸㙣〷㄰攲㈹㙦㜴扦晥挷㘷㈲慦昹攴昷㉦扥昹㌵㥦㑢㡤扣昸慥昳攳㘴戶换㤳ㅤ愴慢昴攰㤴㘵ㅢ㐵挵㍣摡ぢ愳戹捣戴㔱ㅡ㌳愸搳ㄸ搹㌱〷㍣昸ㄴㄶ㜹挲慤㝤愴㠸捤㠵戸捡扥㌸㤸㙢㘲晥㌸㝦㐶㜶戴㘴㠱挶㥤昹㜱㝤㌲㙦㥣㕡㠵搲て㈵㘹搶㐰挱㘹㔵搹扢慤㑣搹ㅥ戴㡡㑥挹捡㔷㤷昴㘷㘷㜵〸搴散㍥㉢㙢㐴ㅡㅡ㠴㠸㐴搷㜸㠲攵〲㥣㜶攷㐲扤㤸捤ㅢ愵㈵ㄵ㌱㐱改愸㈵ㄱ㈲㜱㡡㥦攳ㄷ㤴搴捥愴㤲换搰愲散㜸〱㈷捣㙥㘸愸搷改㠵扡㍤攵㜰摥㑢ㄶ㔲ㅥ捡㤷ㄲ㜴〰挴㈹摢㤶㈳㠷挹㤷㠴㉥㈶㐵㐶㘴㠵搱㔸㠰㥣摥㜷愰ㄴ㔷敡㐷扣〰づ㤳㤱搴㉦㠶戱〹㜳ㅡ㘲昹㌲戴ㄲ㉥慢㌱攷っ改㡥摥㔸㠰㙣挲愲戵愲㈲昰摡扤〶㥡晤愴㔲㘳晣〴㥢㑢昹〹扦搵㤶㑡〶ㅡ㕦攳愷〲㝤㉣戴敤㜶㈵㔵㍦㙣搸㡤戱搵ㄶ㤵攷㌷㤹昴㔲㘸㉦愵愲㠱挶㥡㔴㠶摢ㄲ收㑥慤ㅢ㙡㜷〳昸㡦晡㜱愱挶戰昴昲㘱㥣㔸㈸㌲㡢㠴戶攴挶㙣〸昱㔷愵つ㘵㈶㉦㜳㜲㜹扢〳㠳搹㔳戲捡㌳㙣攷㝦扢扦㤵ㅡ㌷挷㥥晣户㝢㘶晡㤲ㅦ摦㠹㈸挲㜳㐷㌷㕤昹愶㠷㝥㜹敥愷扣戴㥢ㅢ㠹ㅣ㜹㌰㈹愹愷㘹㥤捣〱㥢㌹敡㤷挸㉥挴㤲㙥愹㘴㘹㙤愱慡戹㐸㔹㥣㕡摣昱愸㤳㤴换捤㠵㤱捣攴㜸挹㔰㉡㜲㐲㈵收㘷㡣㤶挲ㄵ㔶㘹㝡搲戲愶㐹㘱慤㉡㘵㑦ㄹ㠶㐳愵戳挹㔳戳ㄹㄷ㐲㌴㌴㔴改㡣〱敤㤴晡愳戶ㅤ攰昴㜱㉢㙢搹㘹晣敢㉦ㅤ㉣攷㘶ㄱ㠱㘶㍡㕥搲㈷昵晣㤴愵敤㈰ㅥ〸〴㜴愰㥤㡦㜸搳㈸㠴慣摥搵㌱㤷户攷挴愳ㅥ㈳㙥晦改昴㌳昷晤攵㈳㐳㌷㍣昹愳搷㝦㜹攲慤愷㡡㐷扣㠲戰慡搹摣㠷㈶㉥昵㠶㌱㔴搲て挱昲愸ㄸ㌵摤ㅤ㥤晣敦搸搶ㅣ㡣㌹㜳㡢戹捤散敡捡㙥改搴㝢昴㌸㔵愴攵敡㠹摣㠹㘶昳㡡㕣㌱㙢ㅤ㈲㐳戶㕦㌴愰挳愶㔹搰㈳摢扤戲〱慢㕣捣摡敢敢ㄷ㉡昹戰㉥㕣㔶㘹愴愶摡ㄸ㌴㝡挳㔶晤㥤ㄱ慥愶㤸㔶晦㕣捥㉤㍥㍤㔴っ㉤挶㥡㕣扣㜴㜷挹㌸戸㔰㕡㌳㈲㔷昶戰扣㘶㤶㙥㤱㍢慥晦ㄷ愲㄰愶㘱㡣㈱㈲㕣愱㜸㕥㠸㙦㈹扤㔰慤㜰㠷摡㠸挰ㄶ㔳ㄸ扥戰㥡散㍡昶㐳搰㐳愰㐳敦㐰㘱㌴捣〴挳㡤愹㜶搹捣愶挵㝢㈵㡥愷㉥搰ㄷ㐲散㜳ㄷ挷㔶㘳㕣搸戹㍦㉣㜲昴〴ㄵ〸昹㈷㤸㐳晣戳㌸捤㡢慥ㅥ戵㐱㌱㈷收攳㠷㜲㔹㘷㑡㥢㌲㜲〷愶ㅣ攴挱摢㤳㐸㜰㘹㙢㠲摣㠵㉣搹㑦㌰〰〰つ㐵㌱㑤㉤㈹㠷摣愴愰戱㐳愵㐵㕥㐰戰ㅢ㈰㑥㕢收㤸㜶ㅡ㜵㡡ㄸ捤搱ㄶ㈸〶愶づ㥦㤰㍡㕡㐲㍦㝥㜵㘱攵㘴㌸愸㌶㈸戹㤷㥥〴挶㑥㘹愵㠵愹慣摡㈴㠵摦㈴扢挷㈸㡥㐳ㅡ搸㉢㈹攰㔷㔲攰捡㍤㤸㠷ㅦ攲て㠰㠴㤶㍦㈷㈸㍡㤱挶㔹慡㜲ㄳㄳ㤱〴㘷挸ㅣ㐹昳户㔶扥㕥㡣摣攴㔲㘵㠲㈶㌰戹扥愴扣搳㐶〱ㅡ㘰搴㑢㡡㌳昱㌷㡢㠹戰晢扣㠲ㅡ㡢㤹㌶慥㌲挹挷㔹晦㠳㐰攳昹㐰扣㍡挸换㤱㤶㔷㄰扣〲㈰㐰攵㝦敡㈶〵敤㘴㐵攵慦㈲搲㤵〰㠲㈶戱戲摡慦㐲挴て攲㙥戴捦〵㔴㡢㐰挳扡㜶ㄱ㜴攴㈶攵ㄲ㘵㠲㠶昶挲㈲㐸㉥㠲扢〰㙦㐳挳昴っ搴挸昰扦昲ち㙡㙣昲㌴敡㉥㈱㙣慢捣㘰㥥攴㉡㘱摢㙣敥捥攵攱摥㔲晣戴捤挴㡦敢㠵㔴改ㄶ㥡㔳㜰ㄴ戸づ㥤戵收㈰㉣㉡戸㍤㥤昹㡡㘰慤ㄱ㘳㉥㤷晦愳戰㍥挹散㔶㈵愹㐳〲㝢〹㘱〸愲〹㠹敢愵㤱〳㐴㐴挹㔹㔷戳㔶㈴搵㠱㤶慢㠹散ㄸ㐲ㅣ昸㐱㈲㈴㜶攷攲㐲㥣挴㕥㑢愴慣戴愸挰晣愳扡㔱敦攲㐸昹㉢攴㌵㔸㌸㌹㑤㤰㈷㈸㄰ㄴ〱挴㕢挰㡣挸㘶扦㡢〴戵㡢㐷攰㥤昸㥥攲㠷㌳挴㌹㐸㔰〲〸戰㔹愲㘹㘵㠰㌵ㄷ改㜰敢敢㌴㙢㐰〹戳㌹晢攱㝢慣㘴㐴㥣㠵㈲挵㝥㘷ㄱ㤱㠷〰㥡攷〰㉥戹搰挸挳㤳戳㔲㤷㐲㜱㝡搵㤶㤶昹愰㈱扡㠶㑦㉤㡣捤ㄷ㌳㔳㈵慢㠸㙢㌳㝡㉥晡㌳戸㔴戱㠵慥ㄵ㤴户㔸㉢㈸㕦㕡㜳㘱扦㌱㘳攸捥㈰捣ㄳ攸㌹㝢㘱㡥㈹㈵㘷㌸㍢昷㝦愹攵㈸慦㈰㝣㜳昴㔴㜸㌰㝣㠲㕤㠷㠲户扣ㅤ㐳ㄶ㙥攸っ㜵㜱挸㘵搷㌴愸㡢㉢攴愷㔸愹㜶愸㜸㐴攴㍣挰ㅤ㍦扢昷㘵ㅢ摦㜹晦㔱敦昷㕡㔰愲ち㤲扥搳㕡㘹㝣ㄸ戹挹愵捡〴摤慣ぢ搲㔸扢ㅥ愹〶㤰㠱㉢㤱㕦㡢愶敢㑡攴挳㕥㐱㡤㔷㤶㑥㔳愵㤲摣㠰㠸㜸㌵搰敡慢㈴㌷愲㔸摥㐴㜰㌳㐰攰慣扣挱㑤ち㍡㕥搵㤹㜸㈳㤱㙥〱㄰攷〱㈸㤵攴㔶㐴晣㈰づ愲㡦〵㤵㘴ㄳ戲㙢ㄷ攱㌶攴㈶攵ㄲ㘵愲ㅤㄸぢ㡢㄰㔰㐹づ㉣戶〰愶㔷㄰㜶晣挶㕥㡡㤶㤶昴㜱㌵㜲㌰㝢㉤㍤扢ㅢ摡㠵㔵㙡昴㉥㤱ㄳ㠳㔶㘱〶敥挱㔲㡡㍥捣㐱昸㕢㘱㙣捦收戲㐶㈹挱㡣㌱㥣挴ㄸ扤㥦㥡㍡㘲㌶㜶愹㈱ㄲ㡦㌷㈵敡昵㌵散户戵挱㌳㌴㠳ㄷ攴挳㌵敤晦攴搲敤捡昹㤴㑣昲㌶㔶扥㠳攰㜶〰㐱敦㈸攷ㄳ㐲㜸㈷ㄱ摥㐵〴㝡愲㝣〴敥㑥㌲戹㡡㘵㜷㄰摣〹㄰愷搱㜶ㅣ挶㜱ㄳ㉢㥡㤷攷㡣㐳㌴㈸㕡捤慡ㅢ摥ㄶ㜳挸扡挴㜲㠶㜲昶㑣㕥㥦㕦㘳㝡㤱㉢愶㡣㈲㝣㈰㈵戸捡㐳㜹搶捣㡣㤱㤵收㤸㔵㉥㘵㡣攱愱㤳挲㠷㡥〹㐶攰ぢ〳㕦㡡挲㈹㈶㑥捣㤹づ收㈶㈲摡㕤㘸慡㘹扣㥣戵㍡摣㥢扣愴扣ㅢ㌹㌸㑡昱㕤昸㕤㤶ㄷ㠱㈴摦㔶㔹攵昱㥣㤳㌷㥡㑣愵攲慡㜸挲挴捡攲㌲㈲摢㘸㡥㑦挱晢㌷搴㘲敥㈹攵戲昹㕣搱攰〶㐱㉤愶慦㙡慦㜱〰ㄷて愳㤶㥤攳㝤㙣㡢〹㡦㕤搱㈶㉤ㄷ㌳昳慢慢㔲㡡㜶攳收㐰慥㘸愳ㅢ㜵㜷捦㜸㥢㌹㌶㘵ㅤ〲㤱㤶ぢ挵㍤晡㡣㝤㔲散ㄴ攴㠷ㄷ搴㜶㠹愸㠸㐶㐵㈲㥡㌸搱㍤搳敥㐱㜳愷㠰㘸㥤㔲㙥戲㥣㝢昸㝤㤰晤㘹㜷攷㔴㍦摤㠰㌱〲㙣㈱㌷戱ㅦ戱戰㥤ㅡ㜰〵㔱愵っ㜸㜸㌸摡慡㑢敦扡搷㈳ぢ㡦㘳愸ㄶ捡㜷戳捥㝢〰㉥摡㜳搹㜰挵昷昹扣㕥戳挴改㐷〹㡢摢挰戰ㄵ挱㉣戸㥡㘸㐶户扡㐴挴㍣搲ㄴ捥㉢㘸㠱愹㌰㘱㈶㑤㠵㐳ㅡ㙤慤㐴㜷攳㝥愵搹摣慢㑦ㅡ㜹㕣ぢㄵ㜴愷搵㑤㔰㔱挶昵戶敤㤵㠱㈳ㄶ㜴ㄲㅤ〹㔶摤昱㈵捣晥戲㘳攱摥㔰㥡〰㡡㌲扤㉣㝤づ㔹晡㥣捡㙡㌶昷搳昹敡㌲㕤戴㘵ㅤ搰㑢㌹㘷慡㤰换㈴㤸愰㠳昴愴愰㔶㜰ㄵ扡扦晣攰㜳㤸戰扡攷㉡㍥搸敥づ搸㌸㕣㍡㙥㍦㘸㍡㉡㌴晣㈷㑥搰㌷〷㝥愴㠴慥㝣ㅦ㕡㡢㐳ㅦ㔶っ㑡㡤攵㔹晦挵搶戳搷㠲㐴ㄵ㘵ぢ晡搶㐸慦昲晤〰挴㔶㌵攸㘰昳㘵〹愲挰㔵搲攸〳㠸捡㝢〱〴㥤㙦㜵㄰㍥㐸㠴て〱挴昷〰㠴㈷㕣敤慤㠲㑦㡢㤴ㅦ攳㜵㐵㡣㜷㘱〹㕣㈶愸晢扡戸摡攱愶挰攵㤷收摥㝢㈵晣㈷㈵摡ㄸ㐸挷挸㈶㕤戶㐵慤㤸捡㘵㌴ㅡ挳晡㘹㘱㈷㐴㑤户㘸慣㌰㘶㈸㡦㥡愰㌲愷摤〷搰㐵ち㐴晢ㄳ换㝦㐸搱㠹㙡㔰㍤ㄶ㥣㍣戸〷扡ㅦ㔹㤱愴戸ㄸ搰㕦ㅥ㑥㌲㤹愴愶㈱㍦㑣昰户〰㠲㑥㈲捡㘳㔷㝡㝣〴㤱㌶㈵㍤㉡㉦㉤摣敤愱户㘸ㄷ晥㈲摡摦〱㥣ㄶ攲㔸ㄵ㙣愲㐴㐲㕣㑢搰换搴㡦㍦昹㔱〰㐱㜷搳〰晥ㄶ〸攴㘳㠸ㅦ㥢㐰攸㤶㔲〴昲㜱㉦挲㠴愰㙦捡㥦㈰愲㍥㠱㍣㠰愸晣〴㠰戸ㄲ愰づ挲㈷㠹昰昷㐴愰㉢㡢㐴愲㝤ち㘰愳扦昸愰㠳㈵㥥㠶搴㔹昰㑦愳㌶ㄶ㕣〷昴扢ぢ㉣昸㠳挸㤶㥦〱㠸㕦〳戰〴㉢㠴㤶ㅤ㜰㌴愸扢㍥昳戲㘲捥〱㤷攲搰㜶攷ㅣ㤰㐶戳〹㠰愸昲㈰慣㔳摣㉢㔰愹㝤㐱㔷㍡戳戶愸㑡㜹㍡愳戶㍣愸㑤㙤愸㔳散敡㔹〱昵敡㔸㐸㑡摦慡㌳挶㤳㐹〱ㄳ慥㜵攸改㘰㑢㍥敦慢慣㍢㜷昷㜹愸㙢㡡㌷㐶攴㐳㘸〵㉣㑤㠰㜰攵挳㠸㔳挸㑦ㅦ㤳㐴〲敥㈵㙡挷㐹㙡㙢㙥㕥㡢攷扦ㅣ㉥摡㌰ㄳ㤲㕥ち戲慣搵㡢㡥㤴㥤慡ㄲ㝤㙥㡤㔷搲㥦捦㡦ㄴ㜱戰㌳㝡㈹㝢㤲㠸㉦㉥づ搵㘲愱㈴搱〹敡挵㘸㠴㈱㈰㜴㘰昷㍤㠲ㅣ慥㌵晤㌸挷攳㥤攳ㄵ㑥ぢ㤷㝢挱㘹㤷㘰㡡敦攲搴㉥戸敦攲㤴㤱㌲㙡挰挲挰㘳搲扣戱㐶㔵㔸㐸㉡愹㈲捤晥㐹ㅢ捡慤㐳扤挵㡢愹㠳㉥捤晤昰〶昱㐹づ搴っ㉦㌶㥡㜱攰㡢㕥㘸㠰户扢㈷捦づ㘱㐵㘲摥㉥戹晢愴㉤挱摦慡㈷挱㌳㜴㠲扢ち敥㙦慡昰搳㥤攲慦摦捥昰㠱㥤ㄱ㍦㐲㤹㠵捤㉤愰昹㈵戴㘵昰摡愰㉢㤵㈷㘹㡤敦攱㜷㌹㥣㘲㕥捤㝥ㅥ㉦㑤㕢㘸晣㤴ㅣ扣ぢ攰㑢扥㌶ㅥ㥤㍣㡣㜵㈷㠷ㄷ㘲昹昹㔶ㄳて㘸昳攵慣愱㔴㑦㥦㘷㉢つ昴愴搸㉦昵㐰摥摤慢㈵搶挵㕢㤴㘱扣㤲昷敦㠹㑦摣㉡㤵㡦㘲㔹ㄵ戳㐳ㅢ㐹昹ㄸ㔲摣ㅡ㝡㑤㡦摢㙦㑤ㅤ㘹㜵攵搶㐵㍤捦〶㙢慢挹㈲㑦愳攳㜱挱昵慤㑥㕣〰㙤慦戵搷愲〵ㅢ挸扡㌰攷㘶㥤ㄴ晢㠴㜹扡㡣て慦愸㑥搸ㅦ挰㐶挰昵搴㑦攴搹㙢扤摦㥤㕣㝦散㠰㤸㐱挶㉥㘶㙡㥦〳㤰改㍤愵㠷敦㌲㜳ㄹ㡢挲㐸㘹㜰愲㘲㜷ち㍡戰晢㠹昶㌸㠰㈸〱戸ㅡ㥣扢戳昲㥦㤰㜱㙣つ㡥ㅥ㙦戴ㅤ㤱㑦㜸ㄱ㈶〴摤摢扥挶㠴㈸㐶愷㔴晣㈷ㄱ㤵晦っ㈰攸晡慥㠳昰〵㈲晣ぢ㐰㥣ㅥ搰㌰换㔹搴㤹换挶昱㉥て㥡㝡愲㐰晦ㄹづ慣㠶昷㜸㜰㔶㐳㌳搶㥡ㄲ㜴昶捡㉦〲㍣昹挴ㄳ扣ち㠹〸㝡㑢晤晥攳㠸㝢㍡昴㤷㄰㤵㕦㈶挲つ〰ㄵㅤ晡㈹愴㔶㈹ㅤ㥡攷挸㈸㔸改㝤て摦㔷㜴搷晣㐶㤴敤挲㕦㐴晢㔷㠰㌳㐲㕡㜴㄰㍦㔷挰㐶㈰㠴㔵㘹㝡㐷搵㐶㝣〵ㄱ㜱㌳㠰扢ㄱ㥥慤昵㔵㘴ㅣ㝢㈳摥挰扡昸㤳㕦昳㈲㙡㈳摥㠸㐴昵㍣搵㐶㝣㥤㠸摦㈰攲㉤昵ㄱ扥㐹㠴㙦ㄱ攱㔶〰愵㑡㝦ㅢ㤱㔵扥㉡㕤㜹㈳㕢㐷㙤㍥〲㑣愸捤户〱晡㝤㔳㈸㜸㙢晣ㅤ㐴攵搳〰㈹晡ㅦㄹ㔲户扢扦㤱ㄴㅤ㡥っ愹㜷戹扦㤱搴ㅤ㠸昰攱慣昶㕤㠰㔵㠳〳ㄳ搵㥦㜴㘸摦㐳㜶换㠴㙢慡戹戶扢昶㝤㘴愵㠰㔹愵ㄶ㙢晦㠱摣愶〹㌸ぢ㘰〸搲晤愰晤〰ㄹ捤㐰㔳戵昶攳㑤㤶昶㐳攴戴㈲㈷攰㜱㐹摤㠹㍣昶㉦㝦〴㤰㑣〸㤱㐸㈰攲㝥㕥愱㍥戴㄰㜷㈳愹ㄶ晥㈷㉣昰㠲㜸㌷㈲㉡昷扦扣㠸愲搱昷㈱ㄱ㌶㕣㙢㉣昵ㄸ㤰愰攴挱㘶ㅦ㜳收昳昰㤳㌰慡㕥㜶扡㤹㈰㜰户ㄸ㝥㌴慢〴昶ㅦぢ摦晢㉤搴㈵戱㌷慤つ㍤㐲㔲搵㔸昲ㅥ晣挵㔷挳挶㕣戴㍥㘷㔰㜹ㄴ挱㍡っ摡㌳〰㙢昷攵㌲㈵换戶㑣㈷㍤〶㉦㘰㥡㡦扡㑣昰晦晥㜸ち㉤搶敤㤳ㄳ㡢ㄵ昹改捤㉣摦㔹㈴愷㡢搶愱愲ㅡ㑤摣收摢㘷戵㕥㡤㡤散㠶㔲㐱㠵戳戱㡡愹昷㈳捡捡昲㘷〴㍦〷㘸㠹愶㍥㠰ㅦ㠶搴扤敥㙦㈴昵㐱㍦昲㈱㉦ㄲ扦ㅦ㤱攵㕡散散挰㝦昲ㅢ㙢㙣慣戱ㄸ㙡㉣㝤㔲㤱㝡ち愳㘹ㅣ㙥扣〵昳づ扦〴慦㕦愹㝡㔹㔹㔹㥤捡㕦㈰㈲㝦〹㤰㑣㝤ㄸ㤰〳搲㝥〵戰ㅡ㌴㠹挷㈳挱㈷㤸㤲搴㉢㐹戰㤲〷㈳㐵扢㕦慤搰昹捣㕡㑢愰㉥㘷㝥㠷㤸昸㈸〱戳㝥敦㐵搸㥢愰㠵㑥㝡ㄴ〲攳㈶ㄵ㈰ㅥ㤱摣㕡敥愲㌸晡晢愳㐷戹㤳搵㍢㐱㍢㕤昵ㄳ㐵㠳㉤つ㈹摡攴っ㈹摡攵っ㈹ㅡ攱っ㈹ㅡ攲っ攲搳〰摣〸昱㍢㌴挹㐵㡡㈲㈱愹戶挸㌸㐰㌲昵㈰搲慡㔱㑥㌶㍣戳捦昸㠵㙡㘶敢㠹戱㡥愰〵㔵攳て㈱ㄶ㕥昲㠰て㌲㘰㔱㌷〲㌳ㄵ㌰户搵收慤㌲㉦㉤敢㜹㝣ㄹ㌶〲㥤捦㘱搶挹愰㈹挴㕣捤晢㤸㜴慢愶昰慡慢戸㐱攱㌵愸㈶㍢㙦㙥㡡㔶㑦㑣㌳㑦挶㝦㡥扤㕢㕥㉦搸㤷〰捦昰㠹㍢㈹摢戸搷搰㔱ㅥ㐶㌹㜱㘴ち㤰ㄱ昵昷㠸㥦扢㡡㐹㉦挴ㅦ㐵㘴昹㑡㉤㙢慥〱㍦昱㍥ㄱ愵换戶㍤捦て㐴敢㕤㥤㔵㝢挸㔷愳慥㜸っ昵搹㠶っ㡥㐱㍣敥攷慥㈵づㄲ敡昴㔰㍢㔲愷攷挷㔸ㄸ晦昴㘸愷愲㝣㔱挶㈸㝥㔴昷㐸㔱㜱㔲搴晦㐲㔴挶㤱㝡ㄲ㘹㠶ㄴㄵ㈵㠶搴ㄷ摣摦㐸㡡㥡ㄱ㐳ㅢ㜵ㄹ慥㉣㈵搳㡡㠶ㄴ㌵㈰㑥㔰㍢つ愳愹ㄶ㡦敢㤰㔳㐷〲慦㐷㜶㔸㙡㔲㠵㘲㉢敡㘳ㅦ㜹㍡㌰㘴ㅡ㐹愱ㄴㅣ收㥦㠹㉣晣㜳搷㤲ち㡥㕡换㈳㠱戵慣㜰愲㙦搷㕤㌶慡㌹㙡搹捥㐶㍢㔸戶慦㈳捤ㄶ戵つ㠰ㅢ〷〷〶昷㑦㜴敦攸捥㘶扢㡤㕥搳㌰㝢㝡户㙣敤㥣㌴昱ㅤ㔰㘶㕢㡦㤹㌱户昷㙥敤㌱㔳㑡〳㐲ㅤ戹ㄱ㜵㔲搴㜹搸㠲㝣〹㔳摦昲㔳㉣ㄳ㐷㤰㔲㍣散慢ㄸっ㜹ㄸ㔷㕦㙥㐲㤱㍣て㈰㤹晡づ搲㡢昲㌰㙡㍢慡㔰昱戰㜳㔹昵ㅣ㠲㙥㌶㑤挵㈲挵搴㜶㠲ㅤ〴㐴ㄳ㥦㐷㑦㜵慦攴ㅦ昷ち挲て摤㔳扥〲㤲愲捥愱晡摢㡥づ㕡ㅡ攲ㄴ㥢㉦㕢晣㐱㔱㐰摦㘹㠷扥㕡昵㙤搱〵昸㔶㘸㥥っ扢〱㜷搲慥敦㍣ㄶ㍤晦挴摡㈲挳㤲㘸㡡㝦昱挷㌰㡢攷搱づ㈶ㄶ攰㌲㙣昱㑣戶㝣㍥㔷㤴ち〲愷㉣ㅥ㐵ㅦ散㐷㤱攲换㔱搴㐶ㄱㅢ挷㕦攸攰㍣扢ㄳ㜹っ扢ㄴ㡣㈴扣摦搴慥㌶捡㘳㔵攳㉡㜱搶㙤晤昱㈳搷㘶攳扤晡晤㈳㡦敦昴摦㘵戸晥㠹慦敤㜴㝦㍦戱㔳㔰收㔶㌶㜴ㄴ㈹㜷㐳㍦攳敤㕢捤慢挷〷扤㠲昰戳捦ㄴ攵戵摡挷〱戵㡦戸扣昱㈶昶て摥挴搴㥣㠷㌸㌱㡡㔳㑥㙡搹ㄳ〳㉥挲摡㕤㙤㤴挱慡愶㍦挱昰挳ㄳ愰㝤昸搶㘷㝦搳㡦摦昴挴㥤搱〱晣晥㜰昶挲挶〱㐱ㄱ㕣㙦愲て㉣㌶搱㡦㝢〵攱攷㥤㠲戲〱晦㈲昲㈲㐰敥ㄶ晦㔲ㄴ㄰㙡晡ㄷ㈳㠲㈳敥戳㘵愱戸㌵搱ㄷ㜲㠸㑥晥慣搰昷㈹㜴㐱㝥慡挸攰㈳挱搵ㅡ㐱慥㈰㐷慡㡣晣㝡㌶愵捥摣㝤㡢㡤晣㐳㕥㐱昸ㄹ㑣㡡㡣㑣㜵㝡ㄹ㈲㉤つ㠲摣㐸㜵㝡㙦戰搳㉢㤰ㅢ㈷㈳愹敢ㅥ〹㝦昲ㅣ晣㜶㥣㍢㜳㑡㘱搸㠶㠱㠲〷㘲攳㔶晦挲昷敢慢㝣挳愵摤晦㘰㙥㘳㈵挷昷㍥晡搵㐶㑡ぢ昵昰㔵ㄸ㤴㙦ㄴ戴昳昳扡㔳㉡愹挰㤵搸晡㑡㉥㥣捥㜰㠵ㄹ㔹扦㐵ㅢち㘳㉣摡㈰挲挶戹㔲扢扣敦搴㜹〷挶搶昰㤵攱㜰戶〹㌳㔸㕦攷㜹捡㐰捥㔱㌲㌸㠱㜲㈱挹戵戵㔷ㄲ昴㙤ㄸ搸搰扢㈵晥㕥慣摦戲晢㐰扤〰㌷㘰㡦㘴㔹㐹昹㉡ㄴ〸戲㜳戶挶慣㌶戲散攳㘳〰攴敦㔵っ攰愶扢㤳㕦扣戶昵挸捥晦摥㝡戸攵散㠷挴慥㍥昵㥤搷慦㜷昶愸昰攵㥤㠲㙣扤㐲㕤ㄵ〶㜰㤷㐷㐴㌵っ攰㑥慦㈰晣挶㈸㑥晥㝤慣㔷㌵㠱慦㝣摡㌰挳戸㐹㔳戱挹㜴戳挹㜲搵㠵㐱㕥搹㔹捤戸敥㉥攱㤳搳扤㜸搷㠱ぢ㜳㝣㜰敥㤹搳㜸敦㐱昷㠹晦ㄲ㐹慡ㄴ㉢㙢收㐸〹㑦㤳ㅡ捤㘱ㅢ昶㜴㌶㠱㉦ㅢㅤ㍣愵㉥㥥っ㡡㌲㉣摦ㄸ㌷ㄵ散㐲扤戳愹㙢㜴搲㥡慣㑢㐷敡愲慤愳戲ㅥ扥㕢㌴捡㕢昲ㄳ㔳㤳㌵ㅤ晢㜵㡡晢搴㈳㥤慤㝡〰ㄲㄳ敦挲㈶扢〶搵㜵㤱愳㙡搴㈰㔲㤹㐱つ昵っ㑤昱㍦㠰愴㌴㤸搵〹っ昷㍡㈹㑥㤹ㄶ㥥ㅡ扤㕣扢㌹昷搰㈷㌰㑤㑤㥣慦ㅦ攲㤴㜹摢㐲挲扡摡㌶〸㜸㑥摡摤戸㜷㠱㙤愳㙡攰㑣㔱摦㘱㡥愰㈸㈲㔹㙡〷〰㑥慢㕣ㄲ搷捣昷㙤㜵攷㥢㐳慤搰㝣愷㤹㔵㤹慦愰㍣攳㥣晤㤰愲㔰㔰㍣戶㐰捣㈲㠱〵㠰㥢㜰㐰挵㙣摦㡣扥㈸攸㔷愱㑥〲捣㠹ㄲ㐰つ昲㈰㈲㙢挱捣昰愵扥晡挶㜰挶㝦㡣ㅢㄵ户晡攳晢㜱昷㘹㤵晤攰戴攵昵㘸㐶㈸捡攲㝥㤴㤹ㄵㄸㅦ㈵〸挷㌷昶昶㑦敥晡㕤捦㔵晤㠲慣㕦昵㜶〸㤱昵㐱㡦㕦捤愲摣攴㜷ㅡ〹ㄲ挱㍣敡㠵ㄶ攵㌵捣ち㜴㑡〹ㄲ㕣㤴ㄸ㔹摢㔲㙣㤵ㄲ戴戱㌰愱昳晦㤲㤳㈸㑣攴㡤攲〱㘷㙡攱晦㡣搳愸扥㤵㤲慦㐵㈳㥣愷愲㈴㤲攲戲㑦ち㜰㑦搴搶㝡ㅤ敡ちㄲ㌹摢㤰㝣㉤挲㠸晡㈳㜵愸ㄳ㜱ㅤ㜳㐹ㄸ捣㤶搷㝢ㄱ㈶〴㠹㐰㙤晡敢扣㑤㝦㌹㜲ㄳ㔱㑤㤰㌰㔴挱㙢扤〲ㅥ㠵〴慥㜳㐹㉣慡攰戰㔷㐰㙤㑦摥㠰㕣挱敤㔶ㅤ晥ㄹ㔳摣㘹晣㡢挸ㅢ扤〸ㄳ㠲扢愳㜰㙥㘲㉥㌷㠶搹昲㘶㉦挲㐴ㅢㄷ㤲㤱〴㤷㕤愸ㄹㄲ攷捦㤹㠷搰㡡扦ㄴ㘷慡挸昸つ㠸㐰㔵戸づ㍦㉣㤷扥摥㑥捣ㄴ攷慡戰㙥㔱㔸㙤ㅣ㈶摦㕡㐴攷㐴收敡散搵㔷㍦搷ㄶ㑢慦㡢扤㘲㔷昳摢㡦㝣晥改摢㥥扡戲敦〷扦扤晤昶愷扥㜷摢ㄳ扦晤搴㘴摦㘳㜷摦晤挸㐵㜷㍣昱昴㙡昳捥攸挷㥥摢㝢攷攱慥改挳〷捤换捥摢㜳昸㤵搷㕣摡㌵扡慡扤愱愱戱昱㥣㌵㥦㝢攱戹愹敢づ㍥㈰㍥晢戵ㄷㄴ㠵㥡㌹㠷攱㉢㔳㙡ㄸ㕣〱㌵㡣㌷愹㘱〸㌵㜷㘲扤ㄹ㘹㠶㔳昱㤷攲ㅡ㈸慣户㈸慣ㄴ攷换㜴㑢㑣㜰㤲㙡搱㡢摥愲て㈰㍦㠱㙢㕦捥㑢ㄵㄴ㐲〵散㐹ㄵ攴慢ぢ㔲散搲㙢㤵晤㈸㥣改㙡㥣愶晦〱搱㘰㘳㍡</t>
  </si>
  <si>
    <t>㜸〱捤㔸摤㙦ㅢ㔹ㄵ㥦㍢昶㌸ㅥ摢㘹扤摤㙥㍦搲㙤搷㐰搵摤㔵㉡㌷㑥ㅡ㥡㜶愹摡搸㙥㥣㘸扢㐹㕡㝢㕢ㅥ〰㙢散戹ㄳ㑦㌳ㅦ搹㤹㜱ㄲㄷ㕥搰挲㕦㐰㠵〴て㐸散挲挳昲昵戲慢ㄵ慣㘰㠵搸㝤㠰㤵㘰㐱愰㝤攰〱〴㐲㠲〵〴〲戱㉦㝣愸㥣摦ㅤ㍢戱ㅤ愷㥢㠶㈰㜵ㄲㅦ摦㝢捦扤攷㥥㝢收㥣摦㌹搷ㄲ㤳㈴改㉥㍤昸挶ㄳ㐵攳搱㜲换て戸㥤㉤戸㤶挵敢㠱改㍡㝥㜶摡昳戴搶㔵搳て㈲㌴㈱㔶㌵㠹敦㉢㔵摦扣捤攳搵㔵敥昹㌴㐹㤱愴㜸㕣㤵㠹摦昹愴㍢つㄵ慢搴㈸㤱ㄴ捤㤲㉡㠵晣㐲敤ㄶ㠹㉥〷慥挷㑦㘷㙥㠴〲㉥收㜲搹㕣㜶㜲散散㠷戳㘳愷㌳㠵愶ㄵ㌴㍤㝥搱攱捤挰搳慣搳㤹挵㘶捤㌲敢㑦昳㔶挵㕤收捥㐵㕥ㅢ㥢愸㘹㘷愷㜲㘷㈷㈷㡤昳攷愷㔲㌱㤲扣㔸挸捦㜲㙢㠵攴敤㤵搴㈱㤲㍡㕦挸㉦㝡摣搸㉢㤹ち慣㤱㉢昲扡〹戳㜱敥㤹捥㔲戶㤰愷晦㉥慢㔰敦㕣㜶愱㕣收㡥㙦〶收慡ㄹ戴㘰㌹搵㕥愸搷㙥㘸㔶㤳挷㙣愱㔲摣扥愱㜹昳㥡捤㠷敤㘷㝤㝥㕤㜳㤶㌸㝡㡡㕤㙡㥡㝡㤴㕥㘷攴挹㐱ㅢ戵㡤㤴㕤㈸攴ぢつ捤ぢ㐲㤱戴挱㤹㐱戳挵㑥搹㉥㔵挴ㅡ㌱ち昳戰㘴摢㘱戰愷搰㌲づ㔵㔵㈲戱〴㤱㘳㈵敦㡤㉦ㅢ㘶摤捤攸㍣㈳愴搴㑣换搴㌵敡㡤戳攸㝢攴㝥摤〲㤲戴㐲慥㙡㜲戵㈶㔷敢㜲㔵㤷慢㕣慥ㅡ㜲㜵㐹慥㌶攴慡㈹㔷㙦挹搵㘵㥡搳㜹攲㐳㐳㜲晢㜹昵户搳攳㡤㙦扣㜹昹㑢㥦晥搵㉢㘷捥晦攳㤷っㅥ㈷㕣㉦㐵つ㜵㤸㐸㙣ㅦ㤱㝢㈸㤴㘳散㙦愴㄰㤴捡㤴㉦晥昰摡挴ㅦ收㕥晥攲换㥦晢晥㜷晦㕤㑡愵㘹改㍣㔹㉣㍢捦㠳㍤㜲㉦〵㤶摡昹ㅢ挲㌱ㄴ㍢㝣挱㐵敥搷㔵扣晤㌹㐷攷敢㌱㙡㤱㔷愴散㠲敢〴㝣㍤㈸㙡㠱㌶㘴㉦㙡ㅥ㜷〲㤵㈶㡤㡡㔵㘱ぢ㉢㠷挵㔸㘷㜵愲摤㈳〹㘹搱散㤲㤲ㄴ〳愱㈴㐶昰㄰㠹㠶㌴ㅥㅢ㠴ㄳ戳㥡摦〸戴㥡挵㑦昶㌹ㄲ散㐶扥晢㙣㘰㕡㝥㤶㐴㤶㍣户戹〲㡢敥㤵ㅣ㠴扦ち㜷㡢ㅤ㈰㈲㔰つ摦戴挱㘵昵㘱晡㑡〸愶ち㈶扤摣扢攰㙣昲㔲㠷愹㐳㉡ㄶ㕤㕢㌳㥤㍤㝡戹愹㈳㈴昴㕡㍢㌶㡡㥥戶㐶㜱扥㈹㝡㍣㍢㠶扦昷〷㍡挲㌹㘳搲㌸㘷攴㜲晡攴㤸㌶愱㈹〸慣晢㡤搳㠳戴㈶㘵摦㌴ㅤ摤㕤ㄳ㠱㝢挰愶㐸ㄴ㜱㕣㘹慤㜰㌱㤴㌲㉡㥡户挴〹っ扣戹攲㐱愳攰㝡ㅥ户戴㠰敢㘲〰攰㝦戸㜷搰㥦昱㕣ㅢ攳㡦收㌵㥦㙦㠲挲愸ㄱ㙥㤴㜷㥢㡥敥ㅦㅢ捣㉣〷㈴㝡愴㥦户㈹㘴换戲㌲〱㈵昷㠵愶㈷晡㤷〹攷㥦㕥㌷㐳昶昱㍥㌶㐱愵㕢摢㥥㍢攳昱攷㌶戸㕢㌴㥡愶っ戸捡挱摦㜲捡㤰ㄵ敡㤵㈹㌴㕣㥦㍢㐲扤㔱㝢搱慣㉦㜳慦捣㤱㍦戹㉥㡥晡〸㔸㥣攲戱捥晤搱〵㤸㥥戰㕡晦㘰昷愸㜱㘵㍤攰ㄴ捤㍡改㑢㌹㉣㘸㔵㄰㐹㠷㝡愶㠴㝢ㄲ攳㘸捦昰㡣㕢㙦晡㠸㕡捦戵㝡㌹搳晡慡㐶㝢敡捦戸㍡㡦㐶攵㠸ㄴ㤵愲㜸㈴捡つㄱち攵戱扥㐰ㄵ㠹〸戲晤㙥挴敦昲ㅣ㐰晥挴㡥ㄶ昵扡ㄷ搶つ㠲㡣㡤搲㠲ㅤ改㡤㤵散㜵戲ㅥ㔹挹攲〸㈴戹ㅦ㔱扡ㄴ摤昴ㅡ㙣㌲㄰㑦挳ㄳ㜵搹っ㝥㡢搹㑦㙣㝦ㄴ㈱㜶挳㌳晥扦㤳㘵昹攱昶改慦慣ㄲ㘶捦㙡㡥㙥㜱敦摥昶㠲㐶敡㔱㤰ㄱ㤰㘳㐴ㄲ㤲昲㍢㐲户㙤㉤㠹㡣挸搶㔹㑢㔹㌳昵愰ㄱ㙢㜰㜳愹ㄱ搰ㄸ㤵㙥昱㌸捣㝣㡡㈰晥㈵晡扥㑤戵摢㌲敡㌷昵㌸挸〹㈲㠹㐴㐲ㄲ昸ㄹ㑢愸ㄹ搱㤷ㄸ㌲㤲挸昶挸慢㕢挱昵㐳㤸愶摥㠳挷㤰㤴〱㘸敡攳㈰㑦㠰㍣㐹㈴㈱戱㜷攸ㅣ㌸换慢搴挵攷㉤搲散㕤搴愷敡㈸挸㘹㈲摤ㅡ㘵㐵㕦㡡〲敢〷㤹㙤㈳㌳挱㙡㠹慢慥愶捦㘸㜵慡㍦㠷摡搵㘷扣攰摡㉢㤴㉦扤㌴㘶ㄶ㈸㕡㈸ち㔷㑤㥤㝢㜱っ㤴愹搴㡤㔲昱改挷〴搶昸㤴〸㈳㤲愲㈴攳㠳昶㥡敢挸㍡搹㝥愷摤愵昴摣ㄶ昹㝦扥㌶㜵〹愶㑥㈴㐴戱㜲㠶㥡敡ㄸㄱ〵敦昶扥攳㜳㍦㉤㍡㘴㤷ㅢ敥摡㉣扤㕣敥㠷挵㥤㕦昰捣攰昰搶㘱㑡散㥡㝤㔴㡣㤷㍣㑥㤰散㔵〸㤹挴ㄹ戱㘲㘴㈰㐷㉣ㅡㄱ攱搱〵っ愳挶つ㤳慦㈱㥤㍣戶㤵㐵搵㘹愱改〷慥愸㐳㑥㙣攵ㄷ摤㜹㌷㈸㥡晥㡡愵戵㑥づ㘰㠷㥣㥢つ敥㄰㥡㝡〴慡敦㌷挹㕤㔹攱晡〰ㅤ换㙥搳慢昳戹攲㠳㠰挷昴愶挲㠷〹㈸㘶㜱ㄶ㤳ㄹ㍤扢㠳〲〶㜷㤱㍥㜹昰㕢愵摦摣晥捣愵ㄸ〱㍣愳〰愱愰㔵〰て扢㠱㙣〴收㜰㑦愱昰〸慥ㄹ捦搰搵捣㕣戱㜸㕥昳挸戱㕤捦㔷敤㑥㌳㜴扣慥慢㐲ㄸ㉤て㠲戱㈹敦㠵ㄹ㉦扢㍤攲㜷㈹㉥㝣㄰捥っ扣㘰〷晢㔲㤳㌸㌷昰㜲㤷敦㑡㜹㥢㤰敤㍥ㄵ〱昶つ慤愲捣慦㔶愵㌸搴挲挳㤴㥦㤰愸㠱晡〱散愳づ慥㠳㘲㔵㘲搹㜱搷ㅣ愱戹攲愳晡ㄲ㘰㍡㌴㠴㘳愰㜰ㄶ捦㘴挷㙤㈴〵昹㘴㜴㤰慤挲㉡㜹攳扥㍡愷㔳挲㙡㕦㔰㔳戸愰㔶㍣㉥㙥愱㜱搱㈱ㄳづ摢㌷㕤㙦戹收扡换戸扢散ㄳ㍤扦挱㜹㠰ㅢ㘳搲づ慦扤㘸㤳敦㐷㈲㍤户挱戶摤挱㐴㡤ㅥ收㥦戳搴㡡捣㜸㜵搱㘳㙦搱昹㜱㘱ㅢ晤换昲㕦扦㜹攷捤攲㘷㝦晣敥昳㍦慦㝥晥㄰晢㔱㥢昱捥戹㕦㕦㝡扥昸㡢改ㄷ扦㜳敡搶户㡢㝣㑡㐱㑡摢㔱㌹㠱ぢ捡㝥㘳〳扢㉡㘶㘰昱愴ㄱ扡〶摡㜱㠳搰㠸㑡㍤㝤挸愸㌴攸搴挵㘱愳攴㤹扡㘵㍡ㅣ慥㐳㐵㌴㙥搷㔷昹ㄲ㤵㜵㡢㉥㙥昲慥㌳㙣㔴㍣捤昱㤱㙢㥣㝡敢㐰㑦㑦㐴㡢㘲攴㑤挷愷㙤〴㕥愲扤摦〰㥣搳㥢㙢摡㑥㐹㕢昱ㅦ㠴㜰㈲㍦改㍣㈱㜸挹㑣㤶㔹㕣㡥敦㌲㈲愴搸ㄴ挹㝢㐸㐴㘰攷昷㠱ぢ㤹㝣㡥㉡㍦㔹㈰㥢㍣㡥晤㐲㐰㐳㌹戲昳㌲て㥡愶挴敦㈵敤晡㍢㌲㈸㘹㙦搴愱㠸㉣昵㍣ㄱ㤶〱愱㡦㝡愱摤㐰㠷愱愸㐱㤵搱㤷戶㥦愲㈱昵㈳㤸昰㌸ㄱ㘰昱戶㠰捣㔰攷〰㤴搹ㅢ攴愲㠰〲㙡㑢㡣晤㠰㕡㠸收〱搱挸㔰ㄵ㈱㈲㠵捦慢㠸㠰搰晢㕦愷昹〳扤晦㝢㙤挶愹㝦ㅤㄹ晦搹戵摦ㄷ㕥㥢昹晢敢㍦㝤攵㘳〹㠶昲〹ㄱ㈰挵㡡㐴㜶㘶㜱㠶㜲ぢ㔶㔷慦㄰㘱㈸戶㠴㘱㘶摡つ㜴搲㈸㕣㔰挷挴㑡㐴ㅥ㉡攴慢㘱㘰㜷昰㈱㌶㑢挳晢㘸戸慢ち㑦愳捥ㄱ㘵收ㅣ㌵挴㙦㐶㑣㤸ㅥ扤愷㠹㜴㥥㌴㕥〱〰㑤扤㑡㘴㌸㤲㠶戹挵㐲㙣愶㐲㜴ㅡ挶ㄷ㐳ぢㄸ㐲㘵挹㠴戶攸昵挸㠲搶㐲搶㜵㙡っ㐷ㄸ昶㠶㙤㘳㘵㈲挷㉢慥敥晡ㄹ晡㥦昶㥥㙢㥡慢搴愰㕦慡㈸㘶㙢㥡搵㜰㔵㑣㠹㔵㠸㈴ㄷ㌵㐲搱㕣㜶摤昲搷搹搷摢挶扥㝢㘶攴扤㝦晥改〳ぢ㉦摣愹晤昱敤㍢昱㑦戱慦戵ㄹ晤扦㑤愵㍢ち㈹㌸捦㔳㠳㘰㜶换㤵㘵戴晦㝥㜸㠵敥㝢㉤㥣㌸㐲㤵愹㈲挰㈳㉡㕦搸㥤慣㑥慡㠳昷㉢㉦㤱搶晦㠳ㅣ㜸㐳㙦愶㝡㡣㐶搴㡦ㄲ㘱㜸㌷挲㡦㘱㐸㘱㑤ㄵ搶㘴㕦摤捥㠲㕦㘹㌳晡㝦㡦㘳㜸㜹㌰ㅥ㝢㤱㘶㐰㘳戱挹㈷㘸㐴挱㑥晤㈹ㄱㄵ晣っ㡣搵㜷昷㐹㈶㤱〰换㕦㜸敤昲㝦㈶㍥㍥捤戰ㅥ换㍢〳挹晦〲㜹扤㈱㐰</t>
  </si>
  <si>
    <t>Constantes Projeção curva S</t>
  </si>
  <si>
    <t>"Valor Justo da Ação"</t>
  </si>
  <si>
    <t>Desconto do Fluxo de Caixa</t>
  </si>
  <si>
    <t>Valor de Mercado "Justo" da empresa</t>
  </si>
  <si>
    <t>Valor justo por ação no cenário base</t>
  </si>
  <si>
    <t>Cotação Atual das ações (TSLA)</t>
  </si>
  <si>
    <t>Planilha de cálculdo da geração de caixa livre (FCFF)</t>
  </si>
  <si>
    <t>NOPAT+D&amp;A</t>
  </si>
  <si>
    <t>Capex de manutenção+expansão</t>
  </si>
  <si>
    <t>Caixa (+)</t>
  </si>
  <si>
    <t>Dívida (-)</t>
  </si>
  <si>
    <t>Share EV Tesla em 2021</t>
  </si>
  <si>
    <t>Share Tesla em 2031</t>
  </si>
  <si>
    <t>Share EV em 2021</t>
  </si>
  <si>
    <t>Share de EV em 2031</t>
  </si>
  <si>
    <t>Crescimento Venda de Veículos até 2031</t>
  </si>
  <si>
    <t>Share EV Tesla em 2031</t>
  </si>
  <si>
    <t>Crescimento Venda de Veículos até 2031 a.a</t>
  </si>
  <si>
    <t>Global Consolidado</t>
  </si>
  <si>
    <t>Receita Créditos de Carbono</t>
  </si>
  <si>
    <t>Outros</t>
  </si>
  <si>
    <t xml:space="preserve"> </t>
  </si>
  <si>
    <t>Receita (Veículos, Créditos e Outros)</t>
  </si>
  <si>
    <t>TIR</t>
  </si>
  <si>
    <t>FCFF Presente</t>
  </si>
  <si>
    <t>TESLA TIR</t>
  </si>
  <si>
    <t>EUROPA</t>
  </si>
  <si>
    <t>CHINA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</si>
</sst>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R$&quot;\ #,##0.00;[Red]\-&quot;R$&quot;\ #,##0.00"/>
    <numFmt numFmtId="44" formatCode="_-&quot;R$&quot;\ * #,##0.00_-;\-&quot;R$&quot;\ * #,##0.00_-;_-&quot;R$&quot;\ * &quot;-&quot;??_-;_-@_-"/>
    <numFmt numFmtId="43" formatCode="_-* #,##0.00_-;\-* #,##0.00_-;_-* &quot;-&quot;??_-;_-@_-"/>
    <numFmt numFmtId="164" formatCode="_-* #,##0_-;\-* #,##0_-;_-* &quot;-&quot;??_-;_-@_-"/>
    <numFmt numFmtId="165" formatCode="0.0%"/>
    <numFmt numFmtId="166" formatCode="_-[$$-409]* #,##0.00_ ;_-[$$-409]* \-#,##0.00\ ;_-[$$-409]* &quot;-&quot;??_ ;_-@_ "/>
    <numFmt numFmtId="167" formatCode="_-[$$-409]* #,##0_ ;_-[$$-409]* \-#,##0\ ;_-[$$-409]* &quot;-&quot;??_ ;_-@_ "/>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0"/>
      <color rgb="FF000000"/>
      <name val="Arial"/>
      <family val="2"/>
    </font>
    <font>
      <b/>
      <sz val="11"/>
      <color theme="0"/>
      <name val="Calibri"/>
      <family val="2"/>
      <scheme val="minor"/>
    </font>
    <font>
      <sz val="11"/>
      <color theme="0"/>
      <name val="Calibri"/>
      <family val="2"/>
      <scheme val="minor"/>
    </font>
    <font>
      <sz val="11"/>
      <name val="Calibri"/>
      <family val="2"/>
      <scheme val="minor"/>
    </font>
    <font>
      <sz val="11"/>
      <color theme="2"/>
      <name val="Calibri"/>
      <family val="2"/>
      <scheme val="minor"/>
    </font>
    <font>
      <b/>
      <sz val="11"/>
      <name val="Calibri"/>
      <family val="2"/>
      <scheme val="minor"/>
    </font>
    <font>
      <b/>
      <i/>
      <sz val="11"/>
      <color theme="2"/>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rgb="FF00FFFF"/>
        <bgColor indexed="64"/>
      </patternFill>
    </fill>
    <fill>
      <patternFill patternType="solid">
        <fgColor theme="4"/>
        <bgColor indexed="64"/>
      </patternFill>
    </fill>
    <fill>
      <patternFill patternType="solid">
        <fgColor theme="5"/>
        <bgColor indexed="64"/>
      </patternFill>
    </fill>
    <fill>
      <patternFill patternType="solid">
        <fgColor rgb="FFC00000"/>
        <bgColor indexed="64"/>
      </patternFill>
    </fill>
    <fill>
      <patternFill patternType="solid">
        <fgColor theme="1"/>
        <bgColor indexed="64"/>
      </patternFill>
    </fill>
    <fill>
      <patternFill patternType="solid">
        <fgColor theme="4" tint="-0.499984740745262"/>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theme="0"/>
      </left>
      <right style="thin">
        <color theme="0"/>
      </right>
      <top style="thin">
        <color theme="0"/>
      </top>
      <bottom style="thin">
        <color theme="0"/>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37">
    <xf numFmtId="0" fontId="0" fillId="0" borderId="0" xfId="0"/>
    <xf numFmtId="10" fontId="0" fillId="0" borderId="0" xfId="0" applyNumberFormat="1"/>
    <xf numFmtId="9" fontId="0" fillId="0" borderId="0" xfId="0" applyNumberFormat="1"/>
    <xf numFmtId="9" fontId="0" fillId="2" borderId="0" xfId="0" applyNumberFormat="1" applyFill="1"/>
    <xf numFmtId="9" fontId="0" fillId="0" borderId="0" xfId="0" applyNumberFormat="1" applyFill="1"/>
    <xf numFmtId="166" fontId="0" fillId="0" borderId="0" xfId="0" applyNumberFormat="1"/>
    <xf numFmtId="8" fontId="0" fillId="0" borderId="0" xfId="0" applyNumberFormat="1"/>
    <xf numFmtId="0" fontId="0" fillId="0" borderId="0" xfId="0" applyAlignment="1">
      <alignment horizontal="center"/>
    </xf>
    <xf numFmtId="0" fontId="2" fillId="0" borderId="0" xfId="0" applyFont="1"/>
    <xf numFmtId="0" fontId="0" fillId="0" borderId="0" xfId="0" quotePrefix="1"/>
    <xf numFmtId="10" fontId="0" fillId="0" borderId="0" xfId="0" applyNumberFormat="1" applyFill="1" applyBorder="1"/>
    <xf numFmtId="9" fontId="0" fillId="3" borderId="0" xfId="0" applyNumberFormat="1" applyFill="1"/>
    <xf numFmtId="43" fontId="0" fillId="0" borderId="0" xfId="1" applyFont="1"/>
    <xf numFmtId="9" fontId="6" fillId="5" borderId="0" xfId="3" applyFont="1" applyFill="1"/>
    <xf numFmtId="0" fontId="0" fillId="6" borderId="0" xfId="0" applyFill="1"/>
    <xf numFmtId="0" fontId="6" fillId="7" borderId="1" xfId="0" applyFont="1" applyFill="1" applyBorder="1"/>
    <xf numFmtId="8" fontId="6" fillId="7" borderId="2" xfId="0" applyNumberFormat="1" applyFont="1" applyFill="1" applyBorder="1"/>
    <xf numFmtId="0" fontId="0" fillId="0" borderId="3" xfId="0" applyBorder="1"/>
    <xf numFmtId="164" fontId="4" fillId="0" borderId="4" xfId="1" applyNumberFormat="1" applyFont="1" applyBorder="1"/>
    <xf numFmtId="164" fontId="4" fillId="0" borderId="4" xfId="0" applyNumberFormat="1" applyFont="1" applyBorder="1"/>
    <xf numFmtId="0" fontId="5" fillId="8" borderId="3" xfId="0" applyFont="1" applyFill="1" applyBorder="1"/>
    <xf numFmtId="166" fontId="5" fillId="8" borderId="4" xfId="0" applyNumberFormat="1" applyFont="1" applyFill="1" applyBorder="1"/>
    <xf numFmtId="0" fontId="5" fillId="8" borderId="5" xfId="0" applyFont="1" applyFill="1" applyBorder="1"/>
    <xf numFmtId="166" fontId="5" fillId="8" borderId="6" xfId="0" applyNumberFormat="1" applyFont="1" applyFill="1" applyBorder="1"/>
    <xf numFmtId="164" fontId="0" fillId="0" borderId="0" xfId="1" applyNumberFormat="1" applyFont="1" applyBorder="1"/>
    <xf numFmtId="9" fontId="0" fillId="0" borderId="0" xfId="3" applyFont="1" applyBorder="1"/>
    <xf numFmtId="9" fontId="0" fillId="0" borderId="4" xfId="3" applyFont="1" applyBorder="1"/>
    <xf numFmtId="164" fontId="0" fillId="0" borderId="4" xfId="1" applyNumberFormat="1" applyFont="1" applyBorder="1"/>
    <xf numFmtId="10" fontId="0" fillId="0" borderId="3" xfId="0" applyNumberFormat="1" applyFill="1" applyBorder="1"/>
    <xf numFmtId="9" fontId="0" fillId="0" borderId="4" xfId="0" applyNumberFormat="1" applyFill="1" applyBorder="1"/>
    <xf numFmtId="0" fontId="0" fillId="0" borderId="0" xfId="0" applyBorder="1"/>
    <xf numFmtId="0" fontId="0" fillId="0" borderId="4" xfId="0" applyBorder="1"/>
    <xf numFmtId="164" fontId="0" fillId="0" borderId="3" xfId="0" applyNumberFormat="1" applyBorder="1"/>
    <xf numFmtId="10" fontId="0" fillId="0" borderId="0" xfId="0" applyNumberFormat="1" applyBorder="1"/>
    <xf numFmtId="10" fontId="0" fillId="0" borderId="4" xfId="0" applyNumberFormat="1" applyBorder="1"/>
    <xf numFmtId="9" fontId="0" fillId="0" borderId="0" xfId="0" applyNumberFormat="1" applyBorder="1"/>
    <xf numFmtId="9" fontId="0" fillId="0" borderId="4" xfId="0" applyNumberFormat="1" applyBorder="1"/>
    <xf numFmtId="165" fontId="0" fillId="0" borderId="4" xfId="0" applyNumberFormat="1" applyBorder="1"/>
    <xf numFmtId="0" fontId="0" fillId="0" borderId="1" xfId="0" applyBorder="1"/>
    <xf numFmtId="0" fontId="0" fillId="0" borderId="5" xfId="0" applyBorder="1"/>
    <xf numFmtId="0" fontId="0" fillId="0" borderId="7" xfId="0" applyBorder="1"/>
    <xf numFmtId="0" fontId="0" fillId="0" borderId="2" xfId="0" applyBorder="1"/>
    <xf numFmtId="0" fontId="8" fillId="8" borderId="3" xfId="0" applyFont="1" applyFill="1" applyBorder="1"/>
    <xf numFmtId="0" fontId="8" fillId="8" borderId="5" xfId="0" applyFont="1" applyFill="1" applyBorder="1"/>
    <xf numFmtId="0" fontId="0" fillId="0" borderId="8" xfId="0" applyBorder="1"/>
    <xf numFmtId="0" fontId="0" fillId="0" borderId="6" xfId="0" applyBorder="1"/>
    <xf numFmtId="9" fontId="0" fillId="2" borderId="2" xfId="0" applyNumberFormat="1" applyFill="1" applyBorder="1"/>
    <xf numFmtId="0" fontId="0" fillId="2" borderId="4" xfId="0" applyFill="1" applyBorder="1"/>
    <xf numFmtId="9" fontId="0" fillId="2" borderId="6" xfId="0" applyNumberFormat="1" applyFill="1" applyBorder="1"/>
    <xf numFmtId="10" fontId="0" fillId="2" borderId="6" xfId="0" applyNumberFormat="1" applyFill="1" applyBorder="1"/>
    <xf numFmtId="9" fontId="0" fillId="2" borderId="4" xfId="0" applyNumberFormat="1" applyFill="1" applyBorder="1"/>
    <xf numFmtId="0" fontId="8" fillId="8" borderId="1" xfId="0" applyFont="1" applyFill="1" applyBorder="1"/>
    <xf numFmtId="166" fontId="2" fillId="2" borderId="0" xfId="0" applyNumberFormat="1" applyFont="1" applyFill="1" applyBorder="1"/>
    <xf numFmtId="9" fontId="2" fillId="2" borderId="0" xfId="0" applyNumberFormat="1" applyFont="1" applyFill="1" applyBorder="1"/>
    <xf numFmtId="9" fontId="2" fillId="3" borderId="0" xfId="0" applyNumberFormat="1" applyFont="1" applyFill="1" applyBorder="1"/>
    <xf numFmtId="165" fontId="2" fillId="2" borderId="0" xfId="0" applyNumberFormat="1" applyFont="1" applyFill="1" applyBorder="1"/>
    <xf numFmtId="9" fontId="2" fillId="2" borderId="0" xfId="3" applyFont="1" applyFill="1" applyBorder="1"/>
    <xf numFmtId="167" fontId="2" fillId="3" borderId="0" xfId="0" applyNumberFormat="1" applyFont="1" applyFill="1" applyBorder="1"/>
    <xf numFmtId="166" fontId="0" fillId="0" borderId="8" xfId="0" applyNumberFormat="1" applyBorder="1"/>
    <xf numFmtId="0" fontId="0" fillId="0" borderId="0" xfId="0" applyAlignment="1">
      <alignment horizontal="right"/>
    </xf>
    <xf numFmtId="166" fontId="0" fillId="4" borderId="0" xfId="0" applyNumberFormat="1" applyFill="1" applyAlignment="1">
      <alignment horizontal="left"/>
    </xf>
    <xf numFmtId="0" fontId="6" fillId="5" borderId="4" xfId="0" applyFont="1" applyFill="1" applyBorder="1"/>
    <xf numFmtId="0" fontId="0" fillId="3" borderId="4" xfId="0" applyFill="1" applyBorder="1"/>
    <xf numFmtId="2" fontId="0" fillId="0" borderId="4" xfId="0" applyNumberFormat="1" applyBorder="1"/>
    <xf numFmtId="9" fontId="6" fillId="5" borderId="4" xfId="3" applyFont="1" applyFill="1" applyBorder="1"/>
    <xf numFmtId="165" fontId="6" fillId="5" borderId="4" xfId="0" applyNumberFormat="1" applyFont="1" applyFill="1" applyBorder="1"/>
    <xf numFmtId="9" fontId="6" fillId="5" borderId="4" xfId="0" applyNumberFormat="1" applyFont="1" applyFill="1" applyBorder="1"/>
    <xf numFmtId="8" fontId="0" fillId="0" borderId="4" xfId="0" applyNumberFormat="1" applyBorder="1"/>
    <xf numFmtId="166" fontId="0" fillId="0" borderId="4" xfId="2" applyNumberFormat="1" applyFont="1" applyBorder="1"/>
    <xf numFmtId="166" fontId="0" fillId="0" borderId="6" xfId="2" applyNumberFormat="1" applyFont="1" applyBorder="1"/>
    <xf numFmtId="0" fontId="8" fillId="8" borderId="7" xfId="0" applyFont="1" applyFill="1" applyBorder="1"/>
    <xf numFmtId="0" fontId="8" fillId="8" borderId="2" xfId="0" applyFont="1" applyFill="1" applyBorder="1"/>
    <xf numFmtId="166" fontId="0" fillId="0" borderId="0" xfId="0" applyNumberFormat="1" applyBorder="1"/>
    <xf numFmtId="166" fontId="0" fillId="0" borderId="4" xfId="0" applyNumberFormat="1" applyBorder="1"/>
    <xf numFmtId="166" fontId="0" fillId="0" borderId="0" xfId="2" applyNumberFormat="1" applyFont="1" applyBorder="1"/>
    <xf numFmtId="166" fontId="2" fillId="0" borderId="4" xfId="0" applyNumberFormat="1" applyFont="1" applyFill="1" applyBorder="1"/>
    <xf numFmtId="166" fontId="0" fillId="0" borderId="0" xfId="3" applyNumberFormat="1" applyFont="1" applyBorder="1"/>
    <xf numFmtId="166" fontId="0" fillId="0" borderId="4" xfId="3" applyNumberFormat="1" applyFont="1" applyBorder="1"/>
    <xf numFmtId="166" fontId="0" fillId="0" borderId="6" xfId="0" applyNumberFormat="1" applyBorder="1"/>
    <xf numFmtId="0" fontId="8" fillId="7" borderId="1" xfId="0" applyFont="1" applyFill="1" applyBorder="1"/>
    <xf numFmtId="0" fontId="7" fillId="0" borderId="0" xfId="0" applyFont="1"/>
    <xf numFmtId="8" fontId="7" fillId="0" borderId="0" xfId="0" applyNumberFormat="1" applyFont="1"/>
    <xf numFmtId="166" fontId="7" fillId="0" borderId="0" xfId="0" applyNumberFormat="1" applyFont="1"/>
    <xf numFmtId="0" fontId="2" fillId="10" borderId="9" xfId="0" applyFont="1" applyFill="1" applyBorder="1" applyAlignment="1">
      <alignment horizontal="center"/>
    </xf>
    <xf numFmtId="0" fontId="2" fillId="10" borderId="0" xfId="0" applyFont="1" applyFill="1" applyBorder="1" applyAlignment="1">
      <alignment horizontal="center"/>
    </xf>
    <xf numFmtId="9" fontId="2" fillId="10" borderId="9" xfId="0" applyNumberFormat="1" applyFont="1" applyFill="1" applyBorder="1" applyAlignment="1">
      <alignment horizontal="center"/>
    </xf>
    <xf numFmtId="9" fontId="2" fillId="10" borderId="9" xfId="3" applyFont="1" applyFill="1" applyBorder="1" applyAlignment="1">
      <alignment horizontal="center"/>
    </xf>
    <xf numFmtId="0" fontId="2" fillId="10" borderId="8" xfId="0" applyFont="1" applyFill="1" applyBorder="1" applyAlignment="1">
      <alignment horizontal="center"/>
    </xf>
    <xf numFmtId="9" fontId="2" fillId="10" borderId="9" xfId="3" applyNumberFormat="1" applyFont="1" applyFill="1" applyBorder="1" applyAlignment="1">
      <alignment horizontal="center"/>
    </xf>
    <xf numFmtId="0" fontId="5" fillId="9" borderId="1" xfId="0" applyFont="1" applyFill="1" applyBorder="1" applyAlignment="1">
      <alignment horizontal="center"/>
    </xf>
    <xf numFmtId="164" fontId="2" fillId="0" borderId="0" xfId="0" applyNumberFormat="1" applyFont="1" applyBorder="1"/>
    <xf numFmtId="164" fontId="2" fillId="0" borderId="4" xfId="0" applyNumberFormat="1" applyFont="1" applyBorder="1"/>
    <xf numFmtId="164" fontId="9" fillId="10" borderId="3" xfId="1" applyNumberFormat="1" applyFont="1" applyFill="1" applyBorder="1"/>
    <xf numFmtId="164" fontId="9" fillId="10" borderId="0" xfId="0" applyNumberFormat="1" applyFont="1" applyFill="1" applyBorder="1"/>
    <xf numFmtId="0" fontId="0" fillId="9" borderId="0" xfId="0" applyFill="1"/>
    <xf numFmtId="10" fontId="9" fillId="10" borderId="10" xfId="0" applyNumberFormat="1" applyFont="1" applyFill="1" applyBorder="1"/>
    <xf numFmtId="10" fontId="9" fillId="10" borderId="11" xfId="0" applyNumberFormat="1" applyFont="1" applyFill="1" applyBorder="1"/>
    <xf numFmtId="9" fontId="2" fillId="0" borderId="11" xfId="3" applyFont="1" applyBorder="1"/>
    <xf numFmtId="9" fontId="2" fillId="0" borderId="12" xfId="0" applyNumberFormat="1" applyFont="1" applyFill="1" applyBorder="1"/>
    <xf numFmtId="0" fontId="0" fillId="0" borderId="11" xfId="0" applyBorder="1"/>
    <xf numFmtId="164" fontId="2" fillId="10" borderId="10" xfId="0" applyNumberFormat="1" applyFont="1" applyFill="1" applyBorder="1"/>
    <xf numFmtId="164" fontId="2" fillId="10" borderId="11" xfId="0" applyNumberFormat="1" applyFont="1" applyFill="1" applyBorder="1"/>
    <xf numFmtId="164" fontId="2" fillId="0" borderId="11" xfId="0" applyNumberFormat="1" applyFont="1" applyBorder="1"/>
    <xf numFmtId="164" fontId="2" fillId="0" borderId="12" xfId="0" applyNumberFormat="1" applyFont="1" applyBorder="1"/>
    <xf numFmtId="9" fontId="9" fillId="10" borderId="10" xfId="3" applyFont="1" applyFill="1" applyBorder="1"/>
    <xf numFmtId="9" fontId="9" fillId="10" borderId="11" xfId="3" applyFont="1" applyFill="1" applyBorder="1"/>
    <xf numFmtId="9" fontId="2" fillId="0" borderId="12" xfId="3" applyFont="1" applyBorder="1"/>
    <xf numFmtId="0" fontId="0" fillId="0" borderId="14" xfId="0" applyBorder="1"/>
    <xf numFmtId="9" fontId="9" fillId="10" borderId="15" xfId="0" applyNumberFormat="1" applyFont="1" applyFill="1" applyBorder="1"/>
    <xf numFmtId="10" fontId="9" fillId="10" borderId="14" xfId="0" applyNumberFormat="1" applyFont="1" applyFill="1" applyBorder="1"/>
    <xf numFmtId="9" fontId="2" fillId="0" borderId="14" xfId="0" applyNumberFormat="1" applyFont="1" applyBorder="1"/>
    <xf numFmtId="9" fontId="2" fillId="0" borderId="13" xfId="0" applyNumberFormat="1" applyFont="1" applyBorder="1"/>
    <xf numFmtId="164" fontId="9" fillId="10" borderId="15" xfId="1" applyNumberFormat="1" applyFont="1" applyFill="1" applyBorder="1"/>
    <xf numFmtId="164" fontId="9" fillId="10" borderId="14" xfId="1" applyNumberFormat="1" applyFont="1" applyFill="1" applyBorder="1"/>
    <xf numFmtId="164" fontId="9" fillId="0" borderId="14" xfId="1" applyNumberFormat="1" applyFont="1" applyFill="1" applyBorder="1"/>
    <xf numFmtId="164" fontId="9" fillId="0" borderId="13" xfId="1" applyNumberFormat="1" applyFont="1" applyFill="1" applyBorder="1"/>
    <xf numFmtId="164" fontId="9" fillId="10" borderId="15" xfId="0" applyNumberFormat="1" applyFont="1" applyFill="1" applyBorder="1"/>
    <xf numFmtId="164" fontId="9" fillId="10" borderId="14" xfId="0" applyNumberFormat="1" applyFont="1" applyFill="1" applyBorder="1"/>
    <xf numFmtId="164" fontId="2" fillId="0" borderId="14" xfId="0" applyNumberFormat="1" applyFont="1" applyBorder="1"/>
    <xf numFmtId="164" fontId="2" fillId="0" borderId="13" xfId="0" applyNumberFormat="1" applyFont="1" applyBorder="1"/>
    <xf numFmtId="43" fontId="9" fillId="10" borderId="15" xfId="0" applyNumberFormat="1" applyFont="1" applyFill="1" applyBorder="1"/>
    <xf numFmtId="43" fontId="9" fillId="10" borderId="14" xfId="0" applyNumberFormat="1" applyFont="1" applyFill="1" applyBorder="1"/>
    <xf numFmtId="43" fontId="2" fillId="0" borderId="14" xfId="0" applyNumberFormat="1" applyFont="1" applyBorder="1"/>
    <xf numFmtId="43" fontId="2" fillId="0" borderId="13" xfId="0" applyNumberFormat="1" applyFont="1" applyBorder="1"/>
    <xf numFmtId="10" fontId="9" fillId="10" borderId="15" xfId="0" applyNumberFormat="1" applyFont="1" applyFill="1" applyBorder="1"/>
    <xf numFmtId="165" fontId="2" fillId="0" borderId="14" xfId="0" applyNumberFormat="1" applyFont="1" applyBorder="1"/>
    <xf numFmtId="165" fontId="2" fillId="0" borderId="13" xfId="0" applyNumberFormat="1" applyFont="1" applyBorder="1"/>
    <xf numFmtId="0" fontId="5" fillId="9" borderId="16" xfId="0" applyFont="1" applyFill="1" applyBorder="1" applyAlignment="1">
      <alignment horizontal="center"/>
    </xf>
    <xf numFmtId="0" fontId="10" fillId="9" borderId="16" xfId="0" applyFont="1" applyFill="1" applyBorder="1" applyAlignment="1">
      <alignment horizontal="center"/>
    </xf>
    <xf numFmtId="0" fontId="5" fillId="9" borderId="3" xfId="0" applyFont="1" applyFill="1" applyBorder="1"/>
    <xf numFmtId="0" fontId="5" fillId="9" borderId="0" xfId="0" applyFont="1" applyFill="1" applyBorder="1"/>
    <xf numFmtId="0" fontId="9" fillId="10" borderId="15" xfId="0" applyNumberFormat="1" applyFont="1" applyFill="1" applyBorder="1"/>
    <xf numFmtId="0" fontId="9" fillId="10" borderId="14" xfId="0" applyNumberFormat="1" applyFont="1" applyFill="1" applyBorder="1"/>
    <xf numFmtId="0" fontId="2" fillId="0" borderId="14" xfId="0" applyNumberFormat="1" applyFont="1" applyBorder="1"/>
    <xf numFmtId="0" fontId="2" fillId="0" borderId="13" xfId="0" applyNumberFormat="1" applyFont="1" applyBorder="1"/>
    <xf numFmtId="9" fontId="0" fillId="2" borderId="0" xfId="0" applyNumberFormat="1" applyFill="1" applyBorder="1"/>
    <xf numFmtId="0" fontId="0" fillId="0" borderId="0" xfId="0" applyBorder="1" applyAlignment="1">
      <alignment horizontal="center"/>
    </xf>
  </cellXfs>
  <cellStyles count="4">
    <cellStyle name="Moeda" xfId="2" builtinId="4"/>
    <cellStyle name="Normal" xfId="0" builtinId="0"/>
    <cellStyle name="Porcentagem" xfId="3" builtinId="5"/>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Marke</a:t>
            </a:r>
            <a:r>
              <a:rPr lang="pt-BR" baseline="0"/>
              <a:t>t Share</a:t>
            </a:r>
            <a:r>
              <a:rPr lang="pt-BR"/>
              <a:t> EV China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Projeção em S</c:v>
          </c:tx>
          <c:spPr>
            <a:solidFill>
              <a:schemeClr val="accent1"/>
            </a:solidFill>
            <a:ln>
              <a:noFill/>
            </a:ln>
            <a:effectLst/>
          </c:spPr>
          <c:invertIfNegative val="0"/>
          <c:cat>
            <c:numRef>
              <c:f>'Mercado Global de Carros'!$K$29:$V$29</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Carros'!$K$47:$V$47</c:f>
              <c:numCache>
                <c:formatCode>0%</c:formatCode>
                <c:ptCount val="12"/>
                <c:pt idx="0">
                  <c:v>0.05</c:v>
                </c:pt>
                <c:pt idx="1">
                  <c:v>0.1</c:v>
                </c:pt>
                <c:pt idx="2">
                  <c:v>0.16</c:v>
                </c:pt>
                <c:pt idx="3">
                  <c:v>0.2</c:v>
                </c:pt>
                <c:pt idx="4">
                  <c:v>0.24</c:v>
                </c:pt>
                <c:pt idx="5">
                  <c:v>0.28000000000000003</c:v>
                </c:pt>
                <c:pt idx="6">
                  <c:v>0.32</c:v>
                </c:pt>
                <c:pt idx="7">
                  <c:v>0.36</c:v>
                </c:pt>
                <c:pt idx="8">
                  <c:v>0.4</c:v>
                </c:pt>
                <c:pt idx="9">
                  <c:v>0.42</c:v>
                </c:pt>
                <c:pt idx="10">
                  <c:v>0.43</c:v>
                </c:pt>
                <c:pt idx="11">
                  <c:v>0.44</c:v>
                </c:pt>
              </c:numCache>
            </c:numRef>
          </c:val>
          <c:extLst>
            <c:ext xmlns:c16="http://schemas.microsoft.com/office/drawing/2014/chart" uri="{C3380CC4-5D6E-409C-BE32-E72D297353CC}">
              <c16:uniqueId val="{00000000-8FE5-43BB-AAB0-CCC4C8A2887F}"/>
            </c:ext>
          </c:extLst>
        </c:ser>
        <c:ser>
          <c:idx val="1"/>
          <c:order val="1"/>
          <c:tx>
            <c:v>Projeção McKinsey</c:v>
          </c:tx>
          <c:spPr>
            <a:solidFill>
              <a:schemeClr val="accent2"/>
            </a:solidFill>
            <a:ln>
              <a:noFill/>
            </a:ln>
            <a:effectLst/>
          </c:spPr>
          <c:invertIfNegative val="0"/>
          <c:cat>
            <c:numRef>
              <c:f>'Mercado Global de Carros'!$K$29:$V$29</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Carros'!#REF!</c:f>
              <c:numCache>
                <c:formatCode>General</c:formatCode>
                <c:ptCount val="1"/>
                <c:pt idx="0">
                  <c:v>1</c:v>
                </c:pt>
              </c:numCache>
            </c:numRef>
          </c:val>
          <c:extLst>
            <c:ext xmlns:c16="http://schemas.microsoft.com/office/drawing/2014/chart" uri="{C3380CC4-5D6E-409C-BE32-E72D297353CC}">
              <c16:uniqueId val="{00000001-8FE5-43BB-AAB0-CCC4C8A2887F}"/>
            </c:ext>
          </c:extLst>
        </c:ser>
        <c:dLbls>
          <c:showLegendKey val="0"/>
          <c:showVal val="0"/>
          <c:showCatName val="0"/>
          <c:showSerName val="0"/>
          <c:showPercent val="0"/>
          <c:showBubbleSize val="0"/>
        </c:dLbls>
        <c:gapWidth val="219"/>
        <c:overlap val="-27"/>
        <c:axId val="1824991727"/>
        <c:axId val="1824985903"/>
      </c:barChart>
      <c:catAx>
        <c:axId val="182499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985903"/>
        <c:crosses val="autoZero"/>
        <c:auto val="1"/>
        <c:lblAlgn val="ctr"/>
        <c:lblOffset val="100"/>
        <c:noMultiLvlLbl val="0"/>
      </c:catAx>
      <c:valAx>
        <c:axId val="18249859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991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Projeção de Vendas</a:t>
            </a:r>
            <a:r>
              <a:rPr lang="pt-BR" baseline="0"/>
              <a:t> de EVs por Ano (China, EUA e EU) - unidades</a:t>
            </a:r>
            <a:endParaRPr lang="pt-BR"/>
          </a:p>
        </c:rich>
      </c:tx>
      <c:layout>
        <c:manualLayout>
          <c:xMode val="edge"/>
          <c:yMode val="edge"/>
          <c:x val="0.1327424577448176"/>
          <c:y val="2.30088581084182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'Mercado Global de Carros'!$A$37</c:f>
              <c:strCache>
                <c:ptCount val="1"/>
                <c:pt idx="0">
                  <c:v>Tesla</c:v>
                </c:pt>
              </c:strCache>
            </c:strRef>
          </c:tx>
          <c:spPr>
            <a:solidFill>
              <a:schemeClr val="accent1"/>
            </a:solidFill>
            <a:ln>
              <a:noFill/>
            </a:ln>
            <a:effectLst/>
          </c:spPr>
          <c:invertIfNegative val="0"/>
          <c:cat>
            <c:numRef>
              <c:f>'Mercado Global de Carros'!$K$29:$V$29</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Carros'!$B$37:$V$37</c:f>
              <c:numCache>
                <c:formatCode>_-* #,##0_-;\-* #,##0_-;_-* "-"??_-;_-@_-</c:formatCode>
                <c:ptCount val="12"/>
                <c:pt idx="0">
                  <c:v>496414</c:v>
                </c:pt>
                <c:pt idx="1">
                  <c:v>1008600</c:v>
                </c:pt>
                <c:pt idx="2">
                  <c:v>1450453.3776</c:v>
                </c:pt>
                <c:pt idx="3">
                  <c:v>1816916.4545400001</c:v>
                </c:pt>
                <c:pt idx="4">
                  <c:v>2322064.3202980203</c:v>
                </c:pt>
                <c:pt idx="5">
                  <c:v>2796869.1278407909</c:v>
                </c:pt>
                <c:pt idx="6">
                  <c:v>3460372.0284560132</c:v>
                </c:pt>
                <c:pt idx="7">
                  <c:v>3996300.5271971757</c:v>
                </c:pt>
                <c:pt idx="8">
                  <c:v>4428812.3488291241</c:v>
                </c:pt>
                <c:pt idx="9">
                  <c:v>4687830.549944615</c:v>
                </c:pt>
                <c:pt idx="10">
                  <c:v>4862458.6536468212</c:v>
                </c:pt>
                <c:pt idx="11">
                  <c:v>5067999.8803091757</c:v>
                </c:pt>
              </c:numCache>
            </c:numRef>
          </c:val>
          <c:extLst>
            <c:ext xmlns:c16="http://schemas.microsoft.com/office/drawing/2014/chart" uri="{C3380CC4-5D6E-409C-BE32-E72D297353CC}">
              <c16:uniqueId val="{00000000-4B20-4F9E-90FA-3395EED489BE}"/>
            </c:ext>
          </c:extLst>
        </c:ser>
        <c:ser>
          <c:idx val="1"/>
          <c:order val="1"/>
          <c:tx>
            <c:strRef>
              <c:f>'Mercado Global de Carros'!$A$36</c:f>
              <c:strCache>
                <c:ptCount val="1"/>
                <c:pt idx="0">
                  <c:v>Outros Evs</c:v>
                </c:pt>
              </c:strCache>
            </c:strRef>
          </c:tx>
          <c:spPr>
            <a:solidFill>
              <a:schemeClr val="accent2"/>
            </a:solidFill>
            <a:ln>
              <a:noFill/>
            </a:ln>
            <a:effectLst/>
          </c:spPr>
          <c:invertIfNegative val="0"/>
          <c:cat>
            <c:numRef>
              <c:f>'Mercado Global de Carros'!$K$29:$V$29</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Carros'!$B$36:$V$36</c:f>
              <c:numCache>
                <c:formatCode>_-* #,##0_-;\-* #,##0_-;_-* "-"??_-;_-@_-</c:formatCode>
                <c:ptCount val="12"/>
                <c:pt idx="0">
                  <c:v>1743586</c:v>
                </c:pt>
                <c:pt idx="1">
                  <c:v>3198630</c:v>
                </c:pt>
                <c:pt idx="2">
                  <c:v>5526295.5023999987</c:v>
                </c:pt>
                <c:pt idx="3">
                  <c:v>7161286.9089599987</c:v>
                </c:pt>
                <c:pt idx="4">
                  <c:v>8951621.0531689767</c:v>
                </c:pt>
                <c:pt idx="5">
                  <c:v>10865256.79865206</c:v>
                </c:pt>
                <c:pt idx="6">
                  <c:v>12990575.865821086</c:v>
                </c:pt>
                <c:pt idx="7">
                  <c:v>15229781.262760434</c:v>
                </c:pt>
                <c:pt idx="8">
                  <c:v>17507947.206186634</c:v>
                </c:pt>
                <c:pt idx="9">
                  <c:v>19256937.1267059</c:v>
                </c:pt>
                <c:pt idx="10">
                  <c:v>20475557.744711518</c:v>
                </c:pt>
                <c:pt idx="11">
                  <c:v>21699823.954485752</c:v>
                </c:pt>
              </c:numCache>
            </c:numRef>
          </c:val>
          <c:extLst>
            <c:ext xmlns:c16="http://schemas.microsoft.com/office/drawing/2014/chart" uri="{C3380CC4-5D6E-409C-BE32-E72D297353CC}">
              <c16:uniqueId val="{00000001-4B20-4F9E-90FA-3395EED489BE}"/>
            </c:ext>
          </c:extLst>
        </c:ser>
        <c:dLbls>
          <c:showLegendKey val="0"/>
          <c:showVal val="0"/>
          <c:showCatName val="0"/>
          <c:showSerName val="0"/>
          <c:showPercent val="0"/>
          <c:showBubbleSize val="0"/>
        </c:dLbls>
        <c:gapWidth val="150"/>
        <c:overlap val="100"/>
        <c:axId val="2076578080"/>
        <c:axId val="2076576000"/>
      </c:barChart>
      <c:catAx>
        <c:axId val="20765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576000"/>
        <c:crosses val="autoZero"/>
        <c:auto val="1"/>
        <c:lblAlgn val="ctr"/>
        <c:lblOffset val="100"/>
        <c:noMultiLvlLbl val="0"/>
      </c:catAx>
      <c:valAx>
        <c:axId val="20765760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57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Projeção de Vendas</a:t>
            </a:r>
            <a:r>
              <a:rPr lang="pt-BR" baseline="0"/>
              <a:t> de Teslas por Ano (China, EUA e EU) - unidades</a:t>
            </a:r>
            <a:endParaRPr lang="pt-BR"/>
          </a:p>
        </c:rich>
      </c:tx>
      <c:layout>
        <c:manualLayout>
          <c:xMode val="edge"/>
          <c:yMode val="edge"/>
          <c:x val="0.1327424577448176"/>
          <c:y val="2.30088581084182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'Mercado Global de Carros'!$A$37</c:f>
              <c:strCache>
                <c:ptCount val="1"/>
                <c:pt idx="0">
                  <c:v>Tesla</c:v>
                </c:pt>
              </c:strCache>
            </c:strRef>
          </c:tx>
          <c:spPr>
            <a:solidFill>
              <a:schemeClr val="accent1"/>
            </a:solidFill>
            <a:ln>
              <a:noFill/>
            </a:ln>
            <a:effectLst/>
          </c:spPr>
          <c:invertIfNegative val="0"/>
          <c:cat>
            <c:numRef>
              <c:f>'Mercado Global de Carros'!$K$29:$V$29</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Carros'!$B$37:$V$37</c:f>
              <c:numCache>
                <c:formatCode>_-* #,##0_-;\-* #,##0_-;_-* "-"??_-;_-@_-</c:formatCode>
                <c:ptCount val="12"/>
                <c:pt idx="0">
                  <c:v>496414</c:v>
                </c:pt>
                <c:pt idx="1">
                  <c:v>1008600</c:v>
                </c:pt>
                <c:pt idx="2">
                  <c:v>1450453.3776</c:v>
                </c:pt>
                <c:pt idx="3">
                  <c:v>1816916.4545400001</c:v>
                </c:pt>
                <c:pt idx="4">
                  <c:v>2322064.3202980203</c:v>
                </c:pt>
                <c:pt idx="5">
                  <c:v>2796869.1278407909</c:v>
                </c:pt>
                <c:pt idx="6">
                  <c:v>3460372.0284560132</c:v>
                </c:pt>
                <c:pt idx="7">
                  <c:v>3996300.5271971757</c:v>
                </c:pt>
                <c:pt idx="8">
                  <c:v>4428812.3488291241</c:v>
                </c:pt>
                <c:pt idx="9">
                  <c:v>4687830.549944615</c:v>
                </c:pt>
                <c:pt idx="10">
                  <c:v>4862458.6536468212</c:v>
                </c:pt>
                <c:pt idx="11">
                  <c:v>5067999.8803091757</c:v>
                </c:pt>
              </c:numCache>
            </c:numRef>
          </c:val>
          <c:extLst>
            <c:ext xmlns:c16="http://schemas.microsoft.com/office/drawing/2014/chart" uri="{C3380CC4-5D6E-409C-BE32-E72D297353CC}">
              <c16:uniqueId val="{00000000-BB34-4E6C-9B06-A41B71D082DD}"/>
            </c:ext>
          </c:extLst>
        </c:ser>
        <c:dLbls>
          <c:showLegendKey val="0"/>
          <c:showVal val="0"/>
          <c:showCatName val="0"/>
          <c:showSerName val="0"/>
          <c:showPercent val="0"/>
          <c:showBubbleSize val="0"/>
        </c:dLbls>
        <c:gapWidth val="150"/>
        <c:overlap val="100"/>
        <c:axId val="2076578080"/>
        <c:axId val="2076576000"/>
      </c:barChart>
      <c:catAx>
        <c:axId val="20765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576000"/>
        <c:crosses val="autoZero"/>
        <c:auto val="1"/>
        <c:lblAlgn val="ctr"/>
        <c:lblOffset val="100"/>
        <c:noMultiLvlLbl val="0"/>
      </c:catAx>
      <c:valAx>
        <c:axId val="20765760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57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Marke</a:t>
            </a:r>
            <a:r>
              <a:rPr lang="pt-BR" baseline="0"/>
              <a:t>t Share</a:t>
            </a:r>
            <a:r>
              <a:rPr lang="pt-BR"/>
              <a:t> EV China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Projeção em S</c:v>
          </c:tx>
          <c:spPr>
            <a:solidFill>
              <a:schemeClr val="accent1"/>
            </a:solidFill>
            <a:ln>
              <a:noFill/>
            </a:ln>
            <a:effectLst/>
          </c:spPr>
          <c:invertIfNegative val="0"/>
          <c:cat>
            <c:numRef>
              <c:f>'[1]Mercado Global de Carros'!$K$29:$V$29</c:f>
              <c:numCache>
                <c:formatCode>General</c:formatCode>
                <c:ptCount val="12"/>
                <c:pt idx="0">
                  <c:v>2019</c:v>
                </c:pt>
                <c:pt idx="1">
                  <c:v>2020</c:v>
                </c:pt>
                <c:pt idx="2">
                  <c:v>2021</c:v>
                </c:pt>
                <c:pt idx="3">
                  <c:v>2022</c:v>
                </c:pt>
                <c:pt idx="4">
                  <c:v>2023</c:v>
                </c:pt>
                <c:pt idx="5">
                  <c:v>2024</c:v>
                </c:pt>
                <c:pt idx="6">
                  <c:v>2025</c:v>
                </c:pt>
                <c:pt idx="7">
                  <c:v>2026</c:v>
                </c:pt>
                <c:pt idx="8">
                  <c:v>2027</c:v>
                </c:pt>
                <c:pt idx="9">
                  <c:v>2028</c:v>
                </c:pt>
                <c:pt idx="10">
                  <c:v>2029</c:v>
                </c:pt>
                <c:pt idx="11">
                  <c:v>2030</c:v>
                </c:pt>
              </c:numCache>
            </c:numRef>
          </c:cat>
          <c:val>
            <c:numRef>
              <c:f>'[1]Mercado Global de Carros'!$K$47:$V$47</c:f>
              <c:numCache>
                <c:formatCode>General</c:formatCode>
                <c:ptCount val="12"/>
                <c:pt idx="0">
                  <c:v>0.05</c:v>
                </c:pt>
                <c:pt idx="1">
                  <c:v>0.1</c:v>
                </c:pt>
                <c:pt idx="2">
                  <c:v>0.16</c:v>
                </c:pt>
                <c:pt idx="3">
                  <c:v>0.2</c:v>
                </c:pt>
                <c:pt idx="4">
                  <c:v>0.24</c:v>
                </c:pt>
                <c:pt idx="5">
                  <c:v>0.28000000000000003</c:v>
                </c:pt>
                <c:pt idx="6">
                  <c:v>0.32</c:v>
                </c:pt>
                <c:pt idx="7">
                  <c:v>0.36</c:v>
                </c:pt>
                <c:pt idx="8">
                  <c:v>0.4</c:v>
                </c:pt>
                <c:pt idx="9">
                  <c:v>0.42</c:v>
                </c:pt>
                <c:pt idx="10">
                  <c:v>0.43</c:v>
                </c:pt>
                <c:pt idx="11">
                  <c:v>0.44</c:v>
                </c:pt>
              </c:numCache>
            </c:numRef>
          </c:val>
          <c:extLst>
            <c:ext xmlns:c16="http://schemas.microsoft.com/office/drawing/2014/chart" uri="{C3380CC4-5D6E-409C-BE32-E72D297353CC}">
              <c16:uniqueId val="{00000000-CD3E-4DFC-BC8E-24543AAE99AF}"/>
            </c:ext>
          </c:extLst>
        </c:ser>
        <c:ser>
          <c:idx val="1"/>
          <c:order val="1"/>
          <c:tx>
            <c:v>Projeção McKinsey</c:v>
          </c:tx>
          <c:spPr>
            <a:solidFill>
              <a:schemeClr val="accent2"/>
            </a:solidFill>
            <a:ln>
              <a:noFill/>
            </a:ln>
            <a:effectLst/>
          </c:spPr>
          <c:invertIfNegative val="0"/>
          <c:cat>
            <c:numRef>
              <c:f>'[1]Mercado Global de Carros'!$K$29:$V$29</c:f>
              <c:numCache>
                <c:formatCode>General</c:formatCode>
                <c:ptCount val="12"/>
                <c:pt idx="0">
                  <c:v>2019</c:v>
                </c:pt>
                <c:pt idx="1">
                  <c:v>2020</c:v>
                </c:pt>
                <c:pt idx="2">
                  <c:v>2021</c:v>
                </c:pt>
                <c:pt idx="3">
                  <c:v>2022</c:v>
                </c:pt>
                <c:pt idx="4">
                  <c:v>2023</c:v>
                </c:pt>
                <c:pt idx="5">
                  <c:v>2024</c:v>
                </c:pt>
                <c:pt idx="6">
                  <c:v>2025</c:v>
                </c:pt>
                <c:pt idx="7">
                  <c:v>2026</c:v>
                </c:pt>
                <c:pt idx="8">
                  <c:v>2027</c:v>
                </c:pt>
                <c:pt idx="9">
                  <c:v>2028</c:v>
                </c:pt>
                <c:pt idx="10">
                  <c:v>2029</c:v>
                </c:pt>
                <c:pt idx="11">
                  <c:v>2030</c:v>
                </c:pt>
              </c:numCache>
            </c:numRef>
          </c:cat>
          <c:val>
            <c:numRef>
              <c:f>'[1]Mercado Global de Carros'!$K$48:$V$48</c:f>
              <c:numCache>
                <c:formatCode>General</c:formatCode>
                <c:ptCount val="12"/>
                <c:pt idx="0">
                  <c:v>0.05</c:v>
                </c:pt>
                <c:pt idx="1">
                  <c:v>7.0000000000000007E-2</c:v>
                </c:pt>
                <c:pt idx="11">
                  <c:v>0.44</c:v>
                </c:pt>
              </c:numCache>
            </c:numRef>
          </c:val>
          <c:extLst>
            <c:ext xmlns:c16="http://schemas.microsoft.com/office/drawing/2014/chart" uri="{C3380CC4-5D6E-409C-BE32-E72D297353CC}">
              <c16:uniqueId val="{00000001-CD3E-4DFC-BC8E-24543AAE99AF}"/>
            </c:ext>
          </c:extLst>
        </c:ser>
        <c:dLbls>
          <c:showLegendKey val="0"/>
          <c:showVal val="0"/>
          <c:showCatName val="0"/>
          <c:showSerName val="0"/>
          <c:showPercent val="0"/>
          <c:showBubbleSize val="0"/>
        </c:dLbls>
        <c:gapWidth val="219"/>
        <c:overlap val="-27"/>
        <c:axId val="1824991727"/>
        <c:axId val="1824985903"/>
      </c:barChart>
      <c:catAx>
        <c:axId val="182499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985903"/>
        <c:crosses val="autoZero"/>
        <c:auto val="1"/>
        <c:lblAlgn val="ctr"/>
        <c:lblOffset val="100"/>
        <c:noMultiLvlLbl val="0"/>
      </c:catAx>
      <c:valAx>
        <c:axId val="182498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991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'Mercado Global de Carros'!$A$84</c:f>
              <c:strCache>
                <c:ptCount val="1"/>
                <c:pt idx="0">
                  <c:v>EUA</c:v>
                </c:pt>
              </c:strCache>
            </c:strRef>
          </c:tx>
          <c:spPr>
            <a:solidFill>
              <a:schemeClr val="accent1"/>
            </a:solidFill>
            <a:ln>
              <a:noFill/>
            </a:ln>
            <a:effectLst/>
          </c:spPr>
          <c:invertIfNegative val="0"/>
          <c:cat>
            <c:numRef>
              <c:f>'Mercado Global de Carros'!$B$83:$V$83</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Carros'!$B$84:$V$84</c:f>
              <c:numCache>
                <c:formatCode>0%</c:formatCode>
                <c:ptCount val="12"/>
                <c:pt idx="0">
                  <c:v>2.1379060106475299E-2</c:v>
                </c:pt>
                <c:pt idx="1">
                  <c:v>0.03</c:v>
                </c:pt>
                <c:pt idx="2">
                  <c:v>0.04</c:v>
                </c:pt>
                <c:pt idx="3">
                  <c:v>0.05</c:v>
                </c:pt>
                <c:pt idx="4">
                  <c:v>7.0000000000000007E-2</c:v>
                </c:pt>
                <c:pt idx="5">
                  <c:v>8.8268170647789274E-2</c:v>
                </c:pt>
                <c:pt idx="6">
                  <c:v>0.1208910365629096</c:v>
                </c:pt>
                <c:pt idx="7">
                  <c:v>0.14521924692901123</c:v>
                </c:pt>
                <c:pt idx="8">
                  <c:v>0.15882979070066786</c:v>
                </c:pt>
                <c:pt idx="9">
                  <c:v>0.16524855515882564</c:v>
                </c:pt>
                <c:pt idx="10">
                  <c:v>0.1680311966034671</c:v>
                </c:pt>
                <c:pt idx="11">
                  <c:v>0.16967095364490428</c:v>
                </c:pt>
              </c:numCache>
            </c:numRef>
          </c:val>
          <c:extLst>
            <c:ext xmlns:c16="http://schemas.microsoft.com/office/drawing/2014/chart" uri="{C3380CC4-5D6E-409C-BE32-E72D297353CC}">
              <c16:uniqueId val="{00000000-5649-46C7-B4B6-5C5EB9929A66}"/>
            </c:ext>
          </c:extLst>
        </c:ser>
        <c:ser>
          <c:idx val="1"/>
          <c:order val="1"/>
          <c:tx>
            <c:strRef>
              <c:f>'Mercado Global de Carros'!$A$85</c:f>
              <c:strCache>
                <c:ptCount val="1"/>
                <c:pt idx="0">
                  <c:v>EUROPA</c:v>
                </c:pt>
              </c:strCache>
            </c:strRef>
          </c:tx>
          <c:spPr>
            <a:solidFill>
              <a:schemeClr val="accent2"/>
            </a:solidFill>
            <a:ln>
              <a:noFill/>
            </a:ln>
            <a:effectLst/>
          </c:spPr>
          <c:invertIfNegative val="0"/>
          <c:cat>
            <c:numRef>
              <c:f>'Mercado Global de Carros'!$B$83:$V$83</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Carros'!$B$85:$V$85</c:f>
              <c:numCache>
                <c:formatCode>0%</c:formatCode>
                <c:ptCount val="12"/>
                <c:pt idx="0">
                  <c:v>0.03</c:v>
                </c:pt>
                <c:pt idx="1">
                  <c:v>0.09</c:v>
                </c:pt>
                <c:pt idx="2">
                  <c:v>0.16</c:v>
                </c:pt>
                <c:pt idx="3">
                  <c:v>0.2</c:v>
                </c:pt>
                <c:pt idx="4">
                  <c:v>0.24</c:v>
                </c:pt>
                <c:pt idx="5">
                  <c:v>0.28000000000000003</c:v>
                </c:pt>
                <c:pt idx="6">
                  <c:v>0.32</c:v>
                </c:pt>
                <c:pt idx="7">
                  <c:v>0.36</c:v>
                </c:pt>
                <c:pt idx="8">
                  <c:v>0.4</c:v>
                </c:pt>
                <c:pt idx="9">
                  <c:v>0.44</c:v>
                </c:pt>
                <c:pt idx="10">
                  <c:v>0.46</c:v>
                </c:pt>
                <c:pt idx="11">
                  <c:v>0.48</c:v>
                </c:pt>
              </c:numCache>
            </c:numRef>
          </c:val>
          <c:extLst>
            <c:ext xmlns:c16="http://schemas.microsoft.com/office/drawing/2014/chart" uri="{C3380CC4-5D6E-409C-BE32-E72D297353CC}">
              <c16:uniqueId val="{00000001-5649-46C7-B4B6-5C5EB9929A66}"/>
            </c:ext>
          </c:extLst>
        </c:ser>
        <c:ser>
          <c:idx val="2"/>
          <c:order val="2"/>
          <c:tx>
            <c:strRef>
              <c:f>'Mercado Global de Carros'!$A$86</c:f>
              <c:strCache>
                <c:ptCount val="1"/>
                <c:pt idx="0">
                  <c:v>CHINA</c:v>
                </c:pt>
              </c:strCache>
            </c:strRef>
          </c:tx>
          <c:spPr>
            <a:solidFill>
              <a:schemeClr val="accent3"/>
            </a:solidFill>
            <a:ln>
              <a:noFill/>
            </a:ln>
            <a:effectLst/>
          </c:spPr>
          <c:invertIfNegative val="0"/>
          <c:cat>
            <c:numRef>
              <c:f>'Mercado Global de Carros'!$B$83:$V$83</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Carros'!$B$86:$V$86</c:f>
              <c:numCache>
                <c:formatCode>0%</c:formatCode>
                <c:ptCount val="12"/>
                <c:pt idx="0">
                  <c:v>0.05</c:v>
                </c:pt>
                <c:pt idx="1">
                  <c:v>0.1</c:v>
                </c:pt>
                <c:pt idx="2">
                  <c:v>0.16</c:v>
                </c:pt>
                <c:pt idx="3">
                  <c:v>0.2</c:v>
                </c:pt>
                <c:pt idx="4">
                  <c:v>0.24</c:v>
                </c:pt>
                <c:pt idx="5">
                  <c:v>0.28000000000000003</c:v>
                </c:pt>
                <c:pt idx="6">
                  <c:v>0.32</c:v>
                </c:pt>
                <c:pt idx="7">
                  <c:v>0.36</c:v>
                </c:pt>
                <c:pt idx="8">
                  <c:v>0.4</c:v>
                </c:pt>
                <c:pt idx="9">
                  <c:v>0.42</c:v>
                </c:pt>
                <c:pt idx="10">
                  <c:v>0.43</c:v>
                </c:pt>
                <c:pt idx="11">
                  <c:v>0.44</c:v>
                </c:pt>
              </c:numCache>
            </c:numRef>
          </c:val>
          <c:extLst>
            <c:ext xmlns:c16="http://schemas.microsoft.com/office/drawing/2014/chart" uri="{C3380CC4-5D6E-409C-BE32-E72D297353CC}">
              <c16:uniqueId val="{00000002-5649-46C7-B4B6-5C5EB9929A66}"/>
            </c:ext>
          </c:extLst>
        </c:ser>
        <c:dLbls>
          <c:showLegendKey val="0"/>
          <c:showVal val="0"/>
          <c:showCatName val="0"/>
          <c:showSerName val="0"/>
          <c:showPercent val="0"/>
          <c:showBubbleSize val="0"/>
        </c:dLbls>
        <c:gapWidth val="219"/>
        <c:overlap val="-27"/>
        <c:axId val="893926463"/>
        <c:axId val="893926879"/>
      </c:barChart>
      <c:catAx>
        <c:axId val="89392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926879"/>
        <c:crosses val="autoZero"/>
        <c:auto val="1"/>
        <c:lblAlgn val="ctr"/>
        <c:lblOffset val="100"/>
        <c:noMultiLvlLbl val="0"/>
      </c:catAx>
      <c:valAx>
        <c:axId val="893926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926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pt-BR"/>
              <a:t>Projeção Resultado Operacional Tesla (2021-2030)</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Tesla!$A$30</c:f>
              <c:strCache>
                <c:ptCount val="1"/>
                <c:pt idx="0">
                  <c:v>Receita (Veículos, Créditos e Outros)</c:v>
                </c:pt>
              </c:strCache>
            </c:strRef>
          </c:tx>
          <c:spPr>
            <a:solidFill>
              <a:schemeClr val="accent1"/>
            </a:solidFill>
            <a:ln>
              <a:noFill/>
            </a:ln>
            <a:effectLst/>
          </c:spPr>
          <c:invertIfNegative val="0"/>
          <c:cat>
            <c:numRef>
              <c:extLst>
                <c:ext xmlns:c15="http://schemas.microsoft.com/office/drawing/2012/chart" uri="{02D57815-91ED-43cb-92C2-25804820EDAC}">
                  <c15:fullRef>
                    <c15:sqref>Tesla!$B$18:$K$18</c15:sqref>
                  </c15:fullRef>
                </c:ext>
              </c:extLst>
              <c:f>Tesla!$B$18:$K$18</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extLst>
                <c:ext xmlns:c15="http://schemas.microsoft.com/office/drawing/2012/chart" uri="{02D57815-91ED-43cb-92C2-25804820EDAC}">
                  <c15:fullRef>
                    <c15:sqref>Tesla!$B$30:$M$30</c15:sqref>
                  </c15:fullRef>
                </c:ext>
              </c:extLst>
              <c:f>Tesla!$B$30:$K$30</c:f>
              <c:numCache>
                <c:formatCode>_-[$$-409]* #,##0.00_ ;_-[$$-409]* \-#,##0.00\ ;_-[$$-409]* "-"??_ ;_-@_ </c:formatCode>
                <c:ptCount val="10"/>
                <c:pt idx="0">
                  <c:v>91181077404.956879</c:v>
                </c:pt>
                <c:pt idx="1">
                  <c:v>115896648702.49748</c:v>
                </c:pt>
                <c:pt idx="2">
                  <c:v>150378332855.91266</c:v>
                </c:pt>
                <c:pt idx="3">
                  <c:v>179795371983.31583</c:v>
                </c:pt>
                <c:pt idx="4">
                  <c:v>230544858940.67911</c:v>
                </c:pt>
                <c:pt idx="5">
                  <c:v>276499676967.31018</c:v>
                </c:pt>
                <c:pt idx="6">
                  <c:v>318359640606.53094</c:v>
                </c:pt>
                <c:pt idx="7">
                  <c:v>350197499371.42297</c:v>
                </c:pt>
                <c:pt idx="8">
                  <c:v>377541052350.36639</c:v>
                </c:pt>
                <c:pt idx="9">
                  <c:v>409203320533.8736</c:v>
                </c:pt>
              </c:numCache>
            </c:numRef>
          </c:val>
          <c:extLst>
            <c:ext xmlns:c16="http://schemas.microsoft.com/office/drawing/2014/chart" uri="{C3380CC4-5D6E-409C-BE32-E72D297353CC}">
              <c16:uniqueId val="{00000000-1A2C-4E35-A048-4F0C93B6CAF1}"/>
            </c:ext>
          </c:extLst>
        </c:ser>
        <c:ser>
          <c:idx val="1"/>
          <c:order val="1"/>
          <c:tx>
            <c:strRef>
              <c:f>Tesla!$A$32</c:f>
              <c:strCache>
                <c:ptCount val="1"/>
                <c:pt idx="0">
                  <c:v>Lucro Bruto</c:v>
                </c:pt>
              </c:strCache>
            </c:strRef>
          </c:tx>
          <c:spPr>
            <a:solidFill>
              <a:schemeClr val="accent2"/>
            </a:solidFill>
            <a:ln>
              <a:noFill/>
            </a:ln>
            <a:effectLst/>
          </c:spPr>
          <c:invertIfNegative val="0"/>
          <c:cat>
            <c:numRef>
              <c:extLst>
                <c:ext xmlns:c15="http://schemas.microsoft.com/office/drawing/2012/chart" uri="{02D57815-91ED-43cb-92C2-25804820EDAC}">
                  <c15:fullRef>
                    <c15:sqref>Tesla!$B$18:$K$18</c15:sqref>
                  </c15:fullRef>
                </c:ext>
              </c:extLst>
              <c:f>Tesla!$B$18:$K$18</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extLst>
                <c:ext xmlns:c15="http://schemas.microsoft.com/office/drawing/2012/chart" uri="{02D57815-91ED-43cb-92C2-25804820EDAC}">
                  <c15:fullRef>
                    <c15:sqref>Tesla!$B$32:$M$32</c15:sqref>
                  </c15:fullRef>
                </c:ext>
              </c:extLst>
              <c:f>Tesla!$B$32:$K$32</c:f>
              <c:numCache>
                <c:formatCode>_-[$$-409]* #,##0.00_ ;_-[$$-409]* \-#,##0.00\ ;_-[$$-409]* "-"??_ ;_-@_ </c:formatCode>
                <c:ptCount val="10"/>
                <c:pt idx="0">
                  <c:v>25257158441.173058</c:v>
                </c:pt>
                <c:pt idx="1">
                  <c:v>32103371690.591805</c:v>
                </c:pt>
                <c:pt idx="2">
                  <c:v>53685064829.560822</c:v>
                </c:pt>
                <c:pt idx="3">
                  <c:v>64186947798.043755</c:v>
                </c:pt>
                <c:pt idx="4">
                  <c:v>82304514641.822449</c:v>
                </c:pt>
                <c:pt idx="5">
                  <c:v>98710384677.329742</c:v>
                </c:pt>
                <c:pt idx="6">
                  <c:v>113654391696.53156</c:v>
                </c:pt>
                <c:pt idx="7">
                  <c:v>125020507275.59802</c:v>
                </c:pt>
                <c:pt idx="8">
                  <c:v>134782155689.08081</c:v>
                </c:pt>
                <c:pt idx="9">
                  <c:v>146085585430.5929</c:v>
                </c:pt>
              </c:numCache>
            </c:numRef>
          </c:val>
          <c:extLst>
            <c:ext xmlns:c16="http://schemas.microsoft.com/office/drawing/2014/chart" uri="{C3380CC4-5D6E-409C-BE32-E72D297353CC}">
              <c16:uniqueId val="{00000001-1A2C-4E35-A048-4F0C93B6CAF1}"/>
            </c:ext>
          </c:extLst>
        </c:ser>
        <c:ser>
          <c:idx val="2"/>
          <c:order val="2"/>
          <c:tx>
            <c:strRef>
              <c:f>Tesla!$A$33</c:f>
              <c:strCache>
                <c:ptCount val="1"/>
                <c:pt idx="0">
                  <c:v>Despesas Operacionais</c:v>
                </c:pt>
              </c:strCache>
            </c:strRef>
          </c:tx>
          <c:spPr>
            <a:solidFill>
              <a:schemeClr val="accent3"/>
            </a:solidFill>
            <a:ln>
              <a:noFill/>
            </a:ln>
            <a:effectLst/>
          </c:spPr>
          <c:invertIfNegative val="0"/>
          <c:cat>
            <c:numRef>
              <c:extLst>
                <c:ext xmlns:c15="http://schemas.microsoft.com/office/drawing/2012/chart" uri="{02D57815-91ED-43cb-92C2-25804820EDAC}">
                  <c15:fullRef>
                    <c15:sqref>Tesla!$B$18:$K$18</c15:sqref>
                  </c15:fullRef>
                </c:ext>
              </c:extLst>
              <c:f>Tesla!$B$18:$K$18</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extLst>
                <c:ext xmlns:c15="http://schemas.microsoft.com/office/drawing/2012/chart" uri="{02D57815-91ED-43cb-92C2-25804820EDAC}">
                  <c15:fullRef>
                    <c15:sqref>Tesla!$B$33:$M$33</c15:sqref>
                  </c15:fullRef>
                </c:ext>
              </c:extLst>
              <c:f>Tesla!$B$33:$K$33</c:f>
              <c:numCache>
                <c:formatCode>_-[$$-409]* #,##0.00_ ;_-[$$-409]* \-#,##0.00\ ;_-[$$-409]* "-"??_ ;_-@_ </c:formatCode>
                <c:ptCount val="10"/>
                <c:pt idx="0">
                  <c:v>5016000000</c:v>
                </c:pt>
                <c:pt idx="1">
                  <c:v>5514400000</c:v>
                </c:pt>
                <c:pt idx="2">
                  <c:v>6012800000</c:v>
                </c:pt>
                <c:pt idx="3">
                  <c:v>6511200000</c:v>
                </c:pt>
                <c:pt idx="4">
                  <c:v>7009600000</c:v>
                </c:pt>
                <c:pt idx="5">
                  <c:v>7508000000</c:v>
                </c:pt>
                <c:pt idx="6">
                  <c:v>8006400000</c:v>
                </c:pt>
                <c:pt idx="7">
                  <c:v>8504800000</c:v>
                </c:pt>
                <c:pt idx="8">
                  <c:v>9003200000</c:v>
                </c:pt>
                <c:pt idx="9">
                  <c:v>9501600000</c:v>
                </c:pt>
              </c:numCache>
            </c:numRef>
          </c:val>
          <c:extLst>
            <c:ext xmlns:c16="http://schemas.microsoft.com/office/drawing/2014/chart" uri="{C3380CC4-5D6E-409C-BE32-E72D297353CC}">
              <c16:uniqueId val="{00000002-1A2C-4E35-A048-4F0C93B6CAF1}"/>
            </c:ext>
          </c:extLst>
        </c:ser>
        <c:ser>
          <c:idx val="3"/>
          <c:order val="3"/>
          <c:tx>
            <c:strRef>
              <c:f>Tesla!$A$34</c:f>
              <c:strCache>
                <c:ptCount val="1"/>
                <c:pt idx="0">
                  <c:v>Receita Auto-Pilot</c:v>
                </c:pt>
              </c:strCache>
            </c:strRef>
          </c:tx>
          <c:spPr>
            <a:solidFill>
              <a:schemeClr val="accent4"/>
            </a:solidFill>
            <a:ln>
              <a:noFill/>
            </a:ln>
            <a:effectLst/>
          </c:spPr>
          <c:invertIfNegative val="0"/>
          <c:cat>
            <c:numRef>
              <c:extLst>
                <c:ext xmlns:c15="http://schemas.microsoft.com/office/drawing/2012/chart" uri="{02D57815-91ED-43cb-92C2-25804820EDAC}">
                  <c15:fullRef>
                    <c15:sqref>Tesla!$B$18:$K$18</c15:sqref>
                  </c15:fullRef>
                </c:ext>
              </c:extLst>
              <c:f>Tesla!$B$18:$K$18</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extLst>
                <c:ext xmlns:c15="http://schemas.microsoft.com/office/drawing/2012/chart" uri="{02D57815-91ED-43cb-92C2-25804820EDAC}">
                  <c15:fullRef>
                    <c15:sqref>Tesla!$B$34:$M$34</c15:sqref>
                  </c15:fullRef>
                </c:ext>
              </c:extLst>
              <c:f>Tesla!$B$34:$K$34</c:f>
              <c:numCache>
                <c:formatCode>_-[$$-409]* #,##0.00_ ;_-[$$-409]* \-#,##0.00\ ;_-[$$-409]* "-"??_ ;_-@_ </c:formatCode>
                <c:ptCount val="10"/>
                <c:pt idx="0">
                  <c:v>1740544053.1199999</c:v>
                </c:pt>
                <c:pt idx="1">
                  <c:v>2180299745.448</c:v>
                </c:pt>
                <c:pt idx="2">
                  <c:v>2786477184.3576241</c:v>
                </c:pt>
                <c:pt idx="3">
                  <c:v>3356242953.4089489</c:v>
                </c:pt>
                <c:pt idx="4">
                  <c:v>13841488113.824055</c:v>
                </c:pt>
                <c:pt idx="5">
                  <c:v>15985202108.788704</c:v>
                </c:pt>
                <c:pt idx="6">
                  <c:v>17715249395.316498</c:v>
                </c:pt>
                <c:pt idx="7">
                  <c:v>18751322199.778461</c:v>
                </c:pt>
                <c:pt idx="8">
                  <c:v>19449834614.587284</c:v>
                </c:pt>
                <c:pt idx="9">
                  <c:v>20271999521.236706</c:v>
                </c:pt>
              </c:numCache>
            </c:numRef>
          </c:val>
          <c:extLst>
            <c:ext xmlns:c16="http://schemas.microsoft.com/office/drawing/2014/chart" uri="{C3380CC4-5D6E-409C-BE32-E72D297353CC}">
              <c16:uniqueId val="{00000003-1A2C-4E35-A048-4F0C93B6CAF1}"/>
            </c:ext>
          </c:extLst>
        </c:ser>
        <c:ser>
          <c:idx val="4"/>
          <c:order val="4"/>
          <c:tx>
            <c:strRef>
              <c:f>Tesla!$A$35</c:f>
              <c:strCache>
                <c:ptCount val="1"/>
                <c:pt idx="0">
                  <c:v>EBIT</c:v>
                </c:pt>
              </c:strCache>
            </c:strRef>
          </c:tx>
          <c:spPr>
            <a:solidFill>
              <a:schemeClr val="accent5"/>
            </a:solidFill>
            <a:ln>
              <a:noFill/>
            </a:ln>
            <a:effectLst/>
          </c:spPr>
          <c:invertIfNegative val="0"/>
          <c:cat>
            <c:numRef>
              <c:extLst>
                <c:ext xmlns:c15="http://schemas.microsoft.com/office/drawing/2012/chart" uri="{02D57815-91ED-43cb-92C2-25804820EDAC}">
                  <c15:fullRef>
                    <c15:sqref>Tesla!$B$18:$K$18</c15:sqref>
                  </c15:fullRef>
                </c:ext>
              </c:extLst>
              <c:f>Tesla!$B$18:$K$18</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extLst>
                <c:ext xmlns:c15="http://schemas.microsoft.com/office/drawing/2012/chart" uri="{02D57815-91ED-43cb-92C2-25804820EDAC}">
                  <c15:fullRef>
                    <c15:sqref>Tesla!$B$35:$K$35</c15:sqref>
                  </c15:fullRef>
                </c:ext>
              </c:extLst>
              <c:f>Tesla!$B$35:$K$35</c:f>
              <c:numCache>
                <c:formatCode>_-[$$-409]* #,##0.00_ ;_-[$$-409]* \-#,##0.00\ ;_-[$$-409]* "-"??_ ;_-@_ </c:formatCode>
                <c:ptCount val="10"/>
                <c:pt idx="0">
                  <c:v>21981702494.293056</c:v>
                </c:pt>
                <c:pt idx="1">
                  <c:v>28769271436.039803</c:v>
                </c:pt>
                <c:pt idx="2">
                  <c:v>50458742013.918442</c:v>
                </c:pt>
                <c:pt idx="3">
                  <c:v>61031990751.452705</c:v>
                </c:pt>
                <c:pt idx="4">
                  <c:v>89136402755.6465</c:v>
                </c:pt>
                <c:pt idx="5">
                  <c:v>107187586786.11844</c:v>
                </c:pt>
                <c:pt idx="6">
                  <c:v>123363241091.84805</c:v>
                </c:pt>
                <c:pt idx="7">
                  <c:v>135267029475.37648</c:v>
                </c:pt>
                <c:pt idx="8">
                  <c:v>145228790303.66809</c:v>
                </c:pt>
                <c:pt idx="9">
                  <c:v>156855984951.82959</c:v>
                </c:pt>
              </c:numCache>
            </c:numRef>
          </c:val>
          <c:extLst>
            <c:ext xmlns:c16="http://schemas.microsoft.com/office/drawing/2014/chart" uri="{C3380CC4-5D6E-409C-BE32-E72D297353CC}">
              <c16:uniqueId val="{00000004-1A2C-4E35-A048-4F0C93B6CAF1}"/>
            </c:ext>
          </c:extLst>
        </c:ser>
        <c:dLbls>
          <c:showLegendKey val="0"/>
          <c:showVal val="0"/>
          <c:showCatName val="0"/>
          <c:showSerName val="0"/>
          <c:showPercent val="0"/>
          <c:showBubbleSize val="0"/>
        </c:dLbls>
        <c:gapWidth val="219"/>
        <c:overlap val="-27"/>
        <c:axId val="2077015200"/>
        <c:axId val="2077017280"/>
      </c:barChart>
      <c:catAx>
        <c:axId val="207701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77017280"/>
        <c:crosses val="autoZero"/>
        <c:auto val="1"/>
        <c:lblAlgn val="ctr"/>
        <c:lblOffset val="100"/>
        <c:noMultiLvlLbl val="0"/>
      </c:catAx>
      <c:valAx>
        <c:axId val="207701728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77015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Projeção NOPAT</a:t>
            </a:r>
            <a:r>
              <a:rPr lang="pt-BR" baseline="0"/>
              <a:t> Tesla (27% de alíquota de imposto sobre o lucro)</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Tesla!$A$35</c:f>
              <c:strCache>
                <c:ptCount val="1"/>
                <c:pt idx="0">
                  <c:v>EBIT</c:v>
                </c:pt>
              </c:strCache>
            </c:strRef>
          </c:tx>
          <c:spPr>
            <a:solidFill>
              <a:schemeClr val="accent1"/>
            </a:solidFill>
            <a:ln>
              <a:noFill/>
            </a:ln>
            <a:effectLst/>
          </c:spPr>
          <c:invertIfNegative val="0"/>
          <c:cat>
            <c:numRef>
              <c:extLst>
                <c:ext xmlns:c15="http://schemas.microsoft.com/office/drawing/2012/chart" uri="{02D57815-91ED-43cb-92C2-25804820EDAC}">
                  <c15:fullRef>
                    <c15:sqref>Tesla!$B$18:$K$18</c15:sqref>
                  </c15:fullRef>
                </c:ext>
              </c:extLst>
              <c:f>Tesla!$B$18:$K$18</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extLst>
                <c:ext xmlns:c15="http://schemas.microsoft.com/office/drawing/2012/chart" uri="{02D57815-91ED-43cb-92C2-25804820EDAC}">
                  <c15:fullRef>
                    <c15:sqref>Tesla!$B$35:$M$35</c15:sqref>
                  </c15:fullRef>
                </c:ext>
              </c:extLst>
              <c:f>Tesla!$B$35:$K$35</c:f>
              <c:numCache>
                <c:formatCode>_-[$$-409]* #,##0.00_ ;_-[$$-409]* \-#,##0.00\ ;_-[$$-409]* "-"??_ ;_-@_ </c:formatCode>
                <c:ptCount val="10"/>
                <c:pt idx="0">
                  <c:v>21981702494.293056</c:v>
                </c:pt>
                <c:pt idx="1">
                  <c:v>28769271436.039803</c:v>
                </c:pt>
                <c:pt idx="2">
                  <c:v>50458742013.918442</c:v>
                </c:pt>
                <c:pt idx="3">
                  <c:v>61031990751.452705</c:v>
                </c:pt>
                <c:pt idx="4">
                  <c:v>89136402755.6465</c:v>
                </c:pt>
                <c:pt idx="5">
                  <c:v>107187586786.11844</c:v>
                </c:pt>
                <c:pt idx="6">
                  <c:v>123363241091.84805</c:v>
                </c:pt>
                <c:pt idx="7">
                  <c:v>135267029475.37648</c:v>
                </c:pt>
                <c:pt idx="8">
                  <c:v>145228790303.66809</c:v>
                </c:pt>
                <c:pt idx="9">
                  <c:v>156855984951.82959</c:v>
                </c:pt>
              </c:numCache>
            </c:numRef>
          </c:val>
          <c:extLst>
            <c:ext xmlns:c16="http://schemas.microsoft.com/office/drawing/2014/chart" uri="{C3380CC4-5D6E-409C-BE32-E72D297353CC}">
              <c16:uniqueId val="{00000000-A631-463A-A730-55F2BEAAE02F}"/>
            </c:ext>
          </c:extLst>
        </c:ser>
        <c:ser>
          <c:idx val="1"/>
          <c:order val="1"/>
          <c:tx>
            <c:strRef>
              <c:f>Tesla!$A$38</c:f>
              <c:strCache>
                <c:ptCount val="1"/>
                <c:pt idx="0">
                  <c:v>NOPAT</c:v>
                </c:pt>
              </c:strCache>
            </c:strRef>
          </c:tx>
          <c:spPr>
            <a:solidFill>
              <a:schemeClr val="accent2"/>
            </a:solidFill>
            <a:ln>
              <a:noFill/>
            </a:ln>
            <a:effectLst/>
          </c:spPr>
          <c:invertIfNegative val="0"/>
          <c:cat>
            <c:numRef>
              <c:extLst>
                <c:ext xmlns:c15="http://schemas.microsoft.com/office/drawing/2012/chart" uri="{02D57815-91ED-43cb-92C2-25804820EDAC}">
                  <c15:fullRef>
                    <c15:sqref>Tesla!$B$18:$K$18</c15:sqref>
                  </c15:fullRef>
                </c:ext>
              </c:extLst>
              <c:f>Tesla!$B$18:$K$18</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extLst>
                <c:ext xmlns:c15="http://schemas.microsoft.com/office/drawing/2012/chart" uri="{02D57815-91ED-43cb-92C2-25804820EDAC}">
                  <c15:fullRef>
                    <c15:sqref>Tesla!$B$38:$M$38</c15:sqref>
                  </c15:fullRef>
                </c:ext>
              </c:extLst>
              <c:f>Tesla!$B$38:$K$38</c:f>
              <c:numCache>
                <c:formatCode>_-[$$-409]* #,##0.00_ ;_-[$$-409]* \-#,##0.00\ ;_-[$$-409]* "-"??_ ;_-@_ </c:formatCode>
                <c:ptCount val="10"/>
                <c:pt idx="0">
                  <c:v>16046642820.833931</c:v>
                </c:pt>
                <c:pt idx="1">
                  <c:v>21001568148.309055</c:v>
                </c:pt>
                <c:pt idx="2">
                  <c:v>36834881670.160461</c:v>
                </c:pt>
                <c:pt idx="3">
                  <c:v>44553353248.560471</c:v>
                </c:pt>
                <c:pt idx="4">
                  <c:v>65069574011.621941</c:v>
                </c:pt>
                <c:pt idx="5">
                  <c:v>78246938353.866455</c:v>
                </c:pt>
                <c:pt idx="6">
                  <c:v>90055165997.049072</c:v>
                </c:pt>
                <c:pt idx="7">
                  <c:v>98744931517.024826</c:v>
                </c:pt>
                <c:pt idx="8">
                  <c:v>106017016921.6777</c:v>
                </c:pt>
                <c:pt idx="9">
                  <c:v>114504869014.8356</c:v>
                </c:pt>
              </c:numCache>
            </c:numRef>
          </c:val>
          <c:extLst>
            <c:ext xmlns:c16="http://schemas.microsoft.com/office/drawing/2014/chart" uri="{C3380CC4-5D6E-409C-BE32-E72D297353CC}">
              <c16:uniqueId val="{00000001-A631-463A-A730-55F2BEAAE02F}"/>
            </c:ext>
          </c:extLst>
        </c:ser>
        <c:dLbls>
          <c:showLegendKey val="0"/>
          <c:showVal val="0"/>
          <c:showCatName val="0"/>
          <c:showSerName val="0"/>
          <c:showPercent val="0"/>
          <c:showBubbleSize val="0"/>
        </c:dLbls>
        <c:gapWidth val="219"/>
        <c:overlap val="-27"/>
        <c:axId val="41860064"/>
        <c:axId val="41870464"/>
      </c:barChart>
      <c:catAx>
        <c:axId val="4186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70464"/>
        <c:crosses val="autoZero"/>
        <c:auto val="1"/>
        <c:lblAlgn val="ctr"/>
        <c:lblOffset val="100"/>
        <c:noMultiLvlLbl val="0"/>
      </c:catAx>
      <c:valAx>
        <c:axId val="4187046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60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pt-BR"/>
              <a:t>Projeção FCFF Tesla (2021-2030)</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Tesla!$A$39</c:f>
              <c:strCache>
                <c:ptCount val="1"/>
                <c:pt idx="0">
                  <c:v>NOPAT+D&amp;A</c:v>
                </c:pt>
              </c:strCache>
            </c:strRef>
          </c:tx>
          <c:spPr>
            <a:solidFill>
              <a:schemeClr val="accent1"/>
            </a:solidFill>
            <a:ln>
              <a:noFill/>
            </a:ln>
            <a:effectLst/>
          </c:spPr>
          <c:invertIfNegative val="0"/>
          <c:cat>
            <c:numRef>
              <c:extLst>
                <c:ext xmlns:c15="http://schemas.microsoft.com/office/drawing/2012/chart" uri="{02D57815-91ED-43cb-92C2-25804820EDAC}">
                  <c15:fullRef>
                    <c15:sqref>Tesla!$B$18:$K$18</c15:sqref>
                  </c15:fullRef>
                </c:ext>
              </c:extLst>
              <c:f>Tesla!$B$18:$K$18</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extLst>
                <c:ext xmlns:c15="http://schemas.microsoft.com/office/drawing/2012/chart" uri="{02D57815-91ED-43cb-92C2-25804820EDAC}">
                  <c15:fullRef>
                    <c15:sqref>Tesla!$B$39:$M$39</c15:sqref>
                  </c15:fullRef>
                </c:ext>
              </c:extLst>
              <c:f>Tesla!$B$39:$K$39</c:f>
              <c:numCache>
                <c:formatCode>_-[$$-409]* #,##0.00_ ;_-[$$-409]* \-#,##0.00\ ;_-[$$-409]* "-"??_ ;_-@_ </c:formatCode>
                <c:ptCount val="10"/>
                <c:pt idx="0">
                  <c:v>18382642820.833931</c:v>
                </c:pt>
                <c:pt idx="1">
                  <c:v>26962261924.351055</c:v>
                </c:pt>
                <c:pt idx="2">
                  <c:v>43983908983.759697</c:v>
                </c:pt>
                <c:pt idx="3">
                  <c:v>53403566893.736237</c:v>
                </c:pt>
                <c:pt idx="4">
                  <c:v>74084523429.333542</c:v>
                </c:pt>
                <c:pt idx="5">
                  <c:v>87690393251.700165</c:v>
                </c:pt>
                <c:pt idx="6">
                  <c:v>99716864342.655212</c:v>
                </c:pt>
                <c:pt idx="7">
                  <c:v>108462064200.23027</c:v>
                </c:pt>
                <c:pt idx="8">
                  <c:v>115534829889.58138</c:v>
                </c:pt>
                <c:pt idx="9">
                  <c:v>123712830299.38409</c:v>
                </c:pt>
              </c:numCache>
            </c:numRef>
          </c:val>
          <c:extLst>
            <c:ext xmlns:c16="http://schemas.microsoft.com/office/drawing/2014/chart" uri="{C3380CC4-5D6E-409C-BE32-E72D297353CC}">
              <c16:uniqueId val="{00000000-E125-45AE-912A-0D844155C5A8}"/>
            </c:ext>
          </c:extLst>
        </c:ser>
        <c:ser>
          <c:idx val="1"/>
          <c:order val="1"/>
          <c:tx>
            <c:strRef>
              <c:f>Tesla!$A$44</c:f>
              <c:strCache>
                <c:ptCount val="1"/>
                <c:pt idx="0">
                  <c:v>Capex de manutenção</c:v>
                </c:pt>
              </c:strCache>
            </c:strRef>
          </c:tx>
          <c:spPr>
            <a:solidFill>
              <a:schemeClr val="accent2"/>
            </a:solidFill>
            <a:ln>
              <a:noFill/>
            </a:ln>
            <a:effectLst/>
          </c:spPr>
          <c:invertIfNegative val="0"/>
          <c:cat>
            <c:numRef>
              <c:extLst>
                <c:ext xmlns:c15="http://schemas.microsoft.com/office/drawing/2012/chart" uri="{02D57815-91ED-43cb-92C2-25804820EDAC}">
                  <c15:fullRef>
                    <c15:sqref>Tesla!$B$18:$K$18</c15:sqref>
                  </c15:fullRef>
                </c:ext>
              </c:extLst>
              <c:f>Tesla!$B$18:$K$18</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extLst>
                <c:ext xmlns:c15="http://schemas.microsoft.com/office/drawing/2012/chart" uri="{02D57815-91ED-43cb-92C2-25804820EDAC}">
                  <c15:fullRef>
                    <c15:sqref>Tesla!$B$44:$M$44</c15:sqref>
                  </c15:fullRef>
                </c:ext>
              </c:extLst>
              <c:f>Tesla!$B$44:$K$44</c:f>
              <c:numCache>
                <c:formatCode>_-[$$-409]* #,##0.00_ ;_-[$$-409]* \-#,##0.00\ ;_-[$$-409]* "-"??_ ;_-@_ </c:formatCode>
                <c:ptCount val="10"/>
                <c:pt idx="0">
                  <c:v>1635200000</c:v>
                </c:pt>
                <c:pt idx="1">
                  <c:v>4172485643.2294002</c:v>
                </c:pt>
                <c:pt idx="2">
                  <c:v>5004319119.5194626</c:v>
                </c:pt>
                <c:pt idx="3">
                  <c:v>6195149551.6230354</c:v>
                </c:pt>
                <c:pt idx="4">
                  <c:v>6310464592.3981228</c:v>
                </c:pt>
                <c:pt idx="5">
                  <c:v>6610418428.4835987</c:v>
                </c:pt>
                <c:pt idx="6">
                  <c:v>6763188841.9242954</c:v>
                </c:pt>
                <c:pt idx="7">
                  <c:v>6801992878.2438116</c:v>
                </c:pt>
                <c:pt idx="8">
                  <c:v>6662469077.532567</c:v>
                </c:pt>
                <c:pt idx="9">
                  <c:v>6445572899.1839447</c:v>
                </c:pt>
              </c:numCache>
            </c:numRef>
          </c:val>
          <c:extLst>
            <c:ext xmlns:c16="http://schemas.microsoft.com/office/drawing/2014/chart" uri="{C3380CC4-5D6E-409C-BE32-E72D297353CC}">
              <c16:uniqueId val="{00000001-E125-45AE-912A-0D844155C5A8}"/>
            </c:ext>
          </c:extLst>
        </c:ser>
        <c:ser>
          <c:idx val="2"/>
          <c:order val="2"/>
          <c:tx>
            <c:strRef>
              <c:f>Tesla!$A$45</c:f>
              <c:strCache>
                <c:ptCount val="1"/>
                <c:pt idx="0">
                  <c:v>Capex de expansão</c:v>
                </c:pt>
              </c:strCache>
            </c:strRef>
          </c:tx>
          <c:spPr>
            <a:solidFill>
              <a:schemeClr val="accent3"/>
            </a:solidFill>
            <a:ln>
              <a:noFill/>
            </a:ln>
            <a:effectLst/>
          </c:spPr>
          <c:invertIfNegative val="0"/>
          <c:cat>
            <c:numRef>
              <c:extLst>
                <c:ext xmlns:c15="http://schemas.microsoft.com/office/drawing/2012/chart" uri="{02D57815-91ED-43cb-92C2-25804820EDAC}">
                  <c15:fullRef>
                    <c15:sqref>Tesla!$B$18:$K$18</c15:sqref>
                  </c15:fullRef>
                </c:ext>
              </c:extLst>
              <c:f>Tesla!$B$18:$K$18</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extLst>
                <c:ext xmlns:c15="http://schemas.microsoft.com/office/drawing/2012/chart" uri="{02D57815-91ED-43cb-92C2-25804820EDAC}">
                  <c15:fullRef>
                    <c15:sqref>Tesla!$B$45:$M$45</c15:sqref>
                  </c15:fullRef>
                </c:ext>
              </c:extLst>
              <c:f>Tesla!$B$45:$K$45</c:f>
              <c:numCache>
                <c:formatCode>_-[$$-409]* #,##0.00_ ;_-[$$-409]* \-#,##0.00\ ;_-[$$-409]* "-"??_ ;_-@_ </c:formatCode>
                <c:ptCount val="10"/>
                <c:pt idx="0">
                  <c:v>20269748912.048641</c:v>
                </c:pt>
                <c:pt idx="1">
                  <c:v>7815338164.0532179</c:v>
                </c:pt>
                <c:pt idx="2">
                  <c:v>10772985444.301842</c:v>
                </c:pt>
                <c:pt idx="3">
                  <c:v>3490590391.9279976</c:v>
                </c:pt>
                <c:pt idx="4">
                  <c:v>4877829400.8643208</c:v>
                </c:pt>
                <c:pt idx="5">
                  <c:v>3939949298.6342254</c:v>
                </c:pt>
                <c:pt idx="6">
                  <c:v>3179667907.7386103</c:v>
                </c:pt>
                <c:pt idx="7">
                  <c:v>1904206591.3933737</c:v>
                </c:pt>
                <c:pt idx="8">
                  <c:v>1283801619.6552892</c:v>
                </c:pt>
                <c:pt idx="9">
                  <c:v>1511063535.0255597</c:v>
                </c:pt>
              </c:numCache>
            </c:numRef>
          </c:val>
          <c:extLst>
            <c:ext xmlns:c16="http://schemas.microsoft.com/office/drawing/2014/chart" uri="{C3380CC4-5D6E-409C-BE32-E72D297353CC}">
              <c16:uniqueId val="{00000002-E125-45AE-912A-0D844155C5A8}"/>
            </c:ext>
          </c:extLst>
        </c:ser>
        <c:ser>
          <c:idx val="3"/>
          <c:order val="3"/>
          <c:tx>
            <c:strRef>
              <c:f>Tesla!$A$48</c:f>
              <c:strCache>
                <c:ptCount val="1"/>
                <c:pt idx="0">
                  <c:v>FCFF</c:v>
                </c:pt>
              </c:strCache>
            </c:strRef>
          </c:tx>
          <c:spPr>
            <a:solidFill>
              <a:schemeClr val="accent4"/>
            </a:solidFill>
            <a:ln>
              <a:noFill/>
            </a:ln>
            <a:effectLst/>
          </c:spPr>
          <c:invertIfNegative val="0"/>
          <c:cat>
            <c:numRef>
              <c:extLst>
                <c:ext xmlns:c15="http://schemas.microsoft.com/office/drawing/2012/chart" uri="{02D57815-91ED-43cb-92C2-25804820EDAC}">
                  <c15:fullRef>
                    <c15:sqref>Tesla!$B$18:$K$18</c15:sqref>
                  </c15:fullRef>
                </c:ext>
              </c:extLst>
              <c:f>Tesla!$B$18:$K$18</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extLst>
                <c:ext xmlns:c15="http://schemas.microsoft.com/office/drawing/2012/chart" uri="{02D57815-91ED-43cb-92C2-25804820EDAC}">
                  <c15:fullRef>
                    <c15:sqref>Tesla!$B$48:$M$48</c15:sqref>
                  </c15:fullRef>
                </c:ext>
              </c:extLst>
              <c:f>Tesla!$B$48:$K$48</c:f>
              <c:numCache>
                <c:formatCode>_-[$$-409]* #,##0.00_ ;_-[$$-409]* \-#,##0.00\ ;_-[$$-409]* "-"??_ ;_-@_ </c:formatCode>
                <c:ptCount val="10"/>
                <c:pt idx="0">
                  <c:v>-3522306091.2147102</c:v>
                </c:pt>
                <c:pt idx="1">
                  <c:v>14974438117.068436</c:v>
                </c:pt>
                <c:pt idx="2">
                  <c:v>28206604419.938393</c:v>
                </c:pt>
                <c:pt idx="3">
                  <c:v>43717826950.185211</c:v>
                </c:pt>
                <c:pt idx="4">
                  <c:v>62896229436.071098</c:v>
                </c:pt>
                <c:pt idx="5">
                  <c:v>77140025524.582336</c:v>
                </c:pt>
                <c:pt idx="6">
                  <c:v>89774007592.992294</c:v>
                </c:pt>
                <c:pt idx="7">
                  <c:v>99755864730.593094</c:v>
                </c:pt>
                <c:pt idx="8">
                  <c:v>107588559192.39352</c:v>
                </c:pt>
                <c:pt idx="9">
                  <c:v>115756193865.17459</c:v>
                </c:pt>
              </c:numCache>
            </c:numRef>
          </c:val>
          <c:extLst>
            <c:ext xmlns:c16="http://schemas.microsoft.com/office/drawing/2014/chart" uri="{C3380CC4-5D6E-409C-BE32-E72D297353CC}">
              <c16:uniqueId val="{00000003-E125-45AE-912A-0D844155C5A8}"/>
            </c:ext>
          </c:extLst>
        </c:ser>
        <c:dLbls>
          <c:showLegendKey val="0"/>
          <c:showVal val="0"/>
          <c:showCatName val="0"/>
          <c:showSerName val="0"/>
          <c:showPercent val="0"/>
          <c:showBubbleSize val="0"/>
        </c:dLbls>
        <c:gapWidth val="219"/>
        <c:overlap val="-27"/>
        <c:axId val="2076573088"/>
        <c:axId val="2076567264"/>
      </c:barChart>
      <c:catAx>
        <c:axId val="20765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76567264"/>
        <c:crosses val="autoZero"/>
        <c:auto val="1"/>
        <c:lblAlgn val="ctr"/>
        <c:lblOffset val="100"/>
        <c:noMultiLvlLbl val="0"/>
      </c:catAx>
      <c:valAx>
        <c:axId val="207656726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76573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8740157499999996" l="0.511811024" r="0.511811024" t="0.78740157499999996" header="0.31496062000000002" footer="0.3149606200000000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pt-BR"/>
              <a:t>Projeção FCFF Tesla (2021-2030)</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0"/>
          <c:tx>
            <c:strRef>
              <c:f>Tesla!$A$48</c:f>
              <c:strCache>
                <c:ptCount val="1"/>
                <c:pt idx="0">
                  <c:v>FCFF</c:v>
                </c:pt>
              </c:strCache>
            </c:strRef>
          </c:tx>
          <c:spPr>
            <a:solidFill>
              <a:schemeClr val="accent4"/>
            </a:solidFill>
            <a:ln>
              <a:noFill/>
            </a:ln>
            <a:effectLst/>
          </c:spPr>
          <c:invertIfNegative val="0"/>
          <c:cat>
            <c:numRef>
              <c:extLst>
                <c:ext xmlns:c15="http://schemas.microsoft.com/office/drawing/2012/chart" uri="{02D57815-91ED-43cb-92C2-25804820EDAC}">
                  <c15:fullRef>
                    <c15:sqref>Tesla!$B$18:$K$18</c15:sqref>
                  </c15:fullRef>
                </c:ext>
              </c:extLst>
              <c:f>Tesla!$B$18:$K$18</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extLst>
                <c:ext xmlns:c15="http://schemas.microsoft.com/office/drawing/2012/chart" uri="{02D57815-91ED-43cb-92C2-25804820EDAC}">
                  <c15:fullRef>
                    <c15:sqref>Tesla!$B$48:$M$48</c15:sqref>
                  </c15:fullRef>
                </c:ext>
              </c:extLst>
              <c:f>Tesla!$B$48:$K$48</c:f>
              <c:numCache>
                <c:formatCode>_-[$$-409]* #,##0.00_ ;_-[$$-409]* \-#,##0.00\ ;_-[$$-409]* "-"??_ ;_-@_ </c:formatCode>
                <c:ptCount val="10"/>
                <c:pt idx="0">
                  <c:v>-3522306091.2147102</c:v>
                </c:pt>
                <c:pt idx="1">
                  <c:v>14974438117.068436</c:v>
                </c:pt>
                <c:pt idx="2">
                  <c:v>28206604419.938393</c:v>
                </c:pt>
                <c:pt idx="3">
                  <c:v>43717826950.185211</c:v>
                </c:pt>
                <c:pt idx="4">
                  <c:v>62896229436.071098</c:v>
                </c:pt>
                <c:pt idx="5">
                  <c:v>77140025524.582336</c:v>
                </c:pt>
                <c:pt idx="6">
                  <c:v>89774007592.992294</c:v>
                </c:pt>
                <c:pt idx="7">
                  <c:v>99755864730.593094</c:v>
                </c:pt>
                <c:pt idx="8">
                  <c:v>107588559192.39352</c:v>
                </c:pt>
                <c:pt idx="9">
                  <c:v>115756193865.17459</c:v>
                </c:pt>
              </c:numCache>
            </c:numRef>
          </c:val>
          <c:extLst>
            <c:ext xmlns:c16="http://schemas.microsoft.com/office/drawing/2014/chart" uri="{C3380CC4-5D6E-409C-BE32-E72D297353CC}">
              <c16:uniqueId val="{00000003-C2F9-4523-B4A7-AB81BDFFB9A7}"/>
            </c:ext>
          </c:extLst>
        </c:ser>
        <c:dLbls>
          <c:showLegendKey val="0"/>
          <c:showVal val="0"/>
          <c:showCatName val="0"/>
          <c:showSerName val="0"/>
          <c:showPercent val="0"/>
          <c:showBubbleSize val="0"/>
        </c:dLbls>
        <c:gapWidth val="219"/>
        <c:overlap val="-27"/>
        <c:axId val="2076573088"/>
        <c:axId val="2076567264"/>
      </c:barChart>
      <c:catAx>
        <c:axId val="20765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76567264"/>
        <c:crosses val="autoZero"/>
        <c:auto val="1"/>
        <c:lblAlgn val="ctr"/>
        <c:lblOffset val="100"/>
        <c:noMultiLvlLbl val="0"/>
      </c:catAx>
      <c:valAx>
        <c:axId val="207656726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76573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8740157499999996" l="0.511811024" r="0.511811024" t="0.78740157499999996" header="0.31496062000000002" footer="0.3149606200000000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Valor Presente do FCFF para a Empresa</a:t>
            </a:r>
          </a:p>
        </c:rich>
      </c:tx>
      <c:layout>
        <c:manualLayout>
          <c:xMode val="edge"/>
          <c:yMode val="edge"/>
          <c:x val="0.41860825521762646"/>
          <c:y val="2.24998034589018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bg1"/>
            </a:solidFill>
            <a:ln>
              <a:noFill/>
            </a:ln>
            <a:effectLst/>
          </c:spPr>
          <c:invertIfNegative val="0"/>
          <c:cat>
            <c:strRef>
              <c:f>Tesla!$D$61:$D$66</c:f>
              <c:strCache>
                <c:ptCount val="6"/>
                <c:pt idx="0">
                  <c:v>Valor Presente FCFF 10 anos (+)</c:v>
                </c:pt>
                <c:pt idx="1">
                  <c:v>Valor Presente FCFF Perpetuidade (+)</c:v>
                </c:pt>
                <c:pt idx="2">
                  <c:v>Valor Presente do FCFF (=)</c:v>
                </c:pt>
                <c:pt idx="3">
                  <c:v>Caixa (+)</c:v>
                </c:pt>
                <c:pt idx="4">
                  <c:v>Dívida (-)</c:v>
                </c:pt>
                <c:pt idx="5">
                  <c:v>Valor de Mercado "Justo"</c:v>
                </c:pt>
              </c:strCache>
            </c:strRef>
          </c:cat>
          <c:val>
            <c:numRef>
              <c:f>Tesla!$E$61:$E$66</c:f>
              <c:numCache>
                <c:formatCode>"R$"#,##0.00_);[Red]\("R$"#,##0.00\)</c:formatCode>
                <c:ptCount val="6"/>
                <c:pt idx="1">
                  <c:v>389661873280.34033</c:v>
                </c:pt>
                <c:pt idx="2" formatCode="General">
                  <c:v>0</c:v>
                </c:pt>
                <c:pt idx="3">
                  <c:v>2257334156574.4712</c:v>
                </c:pt>
                <c:pt idx="4" formatCode="_-[$$-409]* #,##0.00_ ;_-[$$-409]* \-#,##0.00\ ;_-[$$-409]* &quot;-&quot;??_ ;_-@_ ">
                  <c:v>2267334156574.4712</c:v>
                </c:pt>
              </c:numCache>
            </c:numRef>
          </c:val>
          <c:extLst>
            <c:ext xmlns:c16="http://schemas.microsoft.com/office/drawing/2014/chart" uri="{C3380CC4-5D6E-409C-BE32-E72D297353CC}">
              <c16:uniqueId val="{00000000-851A-4CAE-9EDD-154FE87EF423}"/>
            </c:ext>
          </c:extLst>
        </c:ser>
        <c:ser>
          <c:idx val="1"/>
          <c:order val="1"/>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3-851A-4CAE-9EDD-154FE87EF423}"/>
              </c:ext>
            </c:extLst>
          </c:dPt>
          <c:dPt>
            <c:idx val="1"/>
            <c:invertIfNegative val="0"/>
            <c:bubble3D val="0"/>
            <c:spPr>
              <a:solidFill>
                <a:schemeClr val="tx2"/>
              </a:solidFill>
              <a:ln>
                <a:noFill/>
              </a:ln>
              <a:effectLst/>
            </c:spPr>
            <c:extLst>
              <c:ext xmlns:c16="http://schemas.microsoft.com/office/drawing/2014/chart" uri="{C3380CC4-5D6E-409C-BE32-E72D297353CC}">
                <c16:uniqueId val="{00000005-851A-4CAE-9EDD-154FE87EF423}"/>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6-851A-4CAE-9EDD-154FE87EF423}"/>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851A-4CAE-9EDD-154FE87EF423}"/>
              </c:ext>
            </c:extLst>
          </c:dPt>
          <c:dPt>
            <c:idx val="4"/>
            <c:invertIfNegative val="0"/>
            <c:bubble3D val="0"/>
            <c:spPr>
              <a:solidFill>
                <a:srgbClr val="FF0000"/>
              </a:solidFill>
              <a:ln>
                <a:noFill/>
              </a:ln>
              <a:effectLst/>
            </c:spPr>
            <c:extLst>
              <c:ext xmlns:c16="http://schemas.microsoft.com/office/drawing/2014/chart" uri="{C3380CC4-5D6E-409C-BE32-E72D297353CC}">
                <c16:uniqueId val="{00000008-851A-4CAE-9EDD-154FE87EF423}"/>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51A-4CAE-9EDD-154FE87EF423}"/>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51A-4CAE-9EDD-154FE87EF423}"/>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51A-4CAE-9EDD-154FE87EF423}"/>
                </c:ext>
              </c:extLst>
            </c:dLbl>
            <c:dLbl>
              <c:idx val="3"/>
              <c:layout>
                <c:manualLayout>
                  <c:x val="-3.9731895426652356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51A-4CAE-9EDD-154FE87EF423}"/>
                </c:ext>
              </c:extLst>
            </c:dLbl>
            <c:dLbl>
              <c:idx val="4"/>
              <c:layout>
                <c:manualLayout>
                  <c:x val="-4.1321171243718452E-2"/>
                  <c:y val="2.9349470149624525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51A-4CAE-9EDD-154FE87EF423}"/>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51A-4CAE-9EDD-154FE87EF423}"/>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Tesla!$D$61:$D$66</c:f>
              <c:strCache>
                <c:ptCount val="6"/>
                <c:pt idx="0">
                  <c:v>Valor Presente FCFF 10 anos (+)</c:v>
                </c:pt>
                <c:pt idx="1">
                  <c:v>Valor Presente FCFF Perpetuidade (+)</c:v>
                </c:pt>
                <c:pt idx="2">
                  <c:v>Valor Presente do FCFF (=)</c:v>
                </c:pt>
                <c:pt idx="3">
                  <c:v>Caixa (+)</c:v>
                </c:pt>
                <c:pt idx="4">
                  <c:v>Dívida (-)</c:v>
                </c:pt>
                <c:pt idx="5">
                  <c:v>Valor de Mercado "Justo"</c:v>
                </c:pt>
              </c:strCache>
            </c:strRef>
          </c:cat>
          <c:val>
            <c:numRef>
              <c:f>Tesla!$F$61:$F$66</c:f>
              <c:numCache>
                <c:formatCode>"R$"#,##0.00_);[Red]\("R$"#,##0.00\)</c:formatCode>
                <c:ptCount val="6"/>
                <c:pt idx="0">
                  <c:v>389661873280.34033</c:v>
                </c:pt>
                <c:pt idx="1">
                  <c:v>1867672283294.1309</c:v>
                </c:pt>
                <c:pt idx="2">
                  <c:v>2257334156574.4712</c:v>
                </c:pt>
                <c:pt idx="3" formatCode="_-[$$-409]* #,##0.00_ ;_-[$$-409]* \-#,##0.00\ ;_-[$$-409]* &quot;-&quot;??_ ;_-@_ ">
                  <c:v>20000000000</c:v>
                </c:pt>
                <c:pt idx="4" formatCode="_-[$$-409]* #,##0.00_ ;_-[$$-409]* \-#,##0.00\ ;_-[$$-409]* &quot;-&quot;??_ ;_-@_ ">
                  <c:v>10000000000</c:v>
                </c:pt>
                <c:pt idx="5">
                  <c:v>2267334156574.4712</c:v>
                </c:pt>
              </c:numCache>
            </c:numRef>
          </c:val>
          <c:extLst>
            <c:ext xmlns:c16="http://schemas.microsoft.com/office/drawing/2014/chart" uri="{C3380CC4-5D6E-409C-BE32-E72D297353CC}">
              <c16:uniqueId val="{00000001-851A-4CAE-9EDD-154FE87EF423}"/>
            </c:ext>
          </c:extLst>
        </c:ser>
        <c:dLbls>
          <c:showLegendKey val="0"/>
          <c:showVal val="0"/>
          <c:showCatName val="0"/>
          <c:showSerName val="0"/>
          <c:showPercent val="0"/>
          <c:showBubbleSize val="0"/>
        </c:dLbls>
        <c:gapWidth val="182"/>
        <c:overlap val="100"/>
        <c:axId val="41895424"/>
        <c:axId val="41909152"/>
      </c:barChart>
      <c:catAx>
        <c:axId val="418954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09152"/>
        <c:crosses val="autoZero"/>
        <c:auto val="1"/>
        <c:lblAlgn val="ctr"/>
        <c:lblOffset val="100"/>
        <c:noMultiLvlLbl val="0"/>
      </c:catAx>
      <c:valAx>
        <c:axId val="41909152"/>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95424"/>
        <c:crosses val="autoZero"/>
        <c:crossBetween val="between"/>
        <c:dispUnits>
          <c:custUnit val="1000000000"/>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Marke</a:t>
            </a:r>
            <a:r>
              <a:rPr lang="pt-BR" baseline="0"/>
              <a:t>t Share</a:t>
            </a:r>
            <a:r>
              <a:rPr lang="pt-BR"/>
              <a:t> EV Europa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Projeção em S</c:v>
          </c:tx>
          <c:spPr>
            <a:solidFill>
              <a:schemeClr val="accent1"/>
            </a:solidFill>
            <a:ln>
              <a:noFill/>
            </a:ln>
            <a:effectLst/>
          </c:spPr>
          <c:invertIfNegative val="0"/>
          <c:cat>
            <c:numRef>
              <c:f>'Mercado Global de Carros'!$K$29:$V$29</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Carros'!$K$60:$V$60</c:f>
              <c:numCache>
                <c:formatCode>0%</c:formatCode>
                <c:ptCount val="12"/>
                <c:pt idx="0">
                  <c:v>0.03</c:v>
                </c:pt>
                <c:pt idx="1">
                  <c:v>0.09</c:v>
                </c:pt>
                <c:pt idx="2">
                  <c:v>0.16</c:v>
                </c:pt>
                <c:pt idx="3">
                  <c:v>0.2</c:v>
                </c:pt>
                <c:pt idx="4">
                  <c:v>0.24</c:v>
                </c:pt>
                <c:pt idx="5">
                  <c:v>0.28000000000000003</c:v>
                </c:pt>
                <c:pt idx="6">
                  <c:v>0.32</c:v>
                </c:pt>
                <c:pt idx="7">
                  <c:v>0.36</c:v>
                </c:pt>
                <c:pt idx="8">
                  <c:v>0.4</c:v>
                </c:pt>
                <c:pt idx="9">
                  <c:v>0.44</c:v>
                </c:pt>
                <c:pt idx="10">
                  <c:v>0.46</c:v>
                </c:pt>
                <c:pt idx="11">
                  <c:v>0.48</c:v>
                </c:pt>
              </c:numCache>
            </c:numRef>
          </c:val>
          <c:extLst>
            <c:ext xmlns:c16="http://schemas.microsoft.com/office/drawing/2014/chart" uri="{C3380CC4-5D6E-409C-BE32-E72D297353CC}">
              <c16:uniqueId val="{00000000-FA82-49A6-876F-57B9A38CD080}"/>
            </c:ext>
          </c:extLst>
        </c:ser>
        <c:ser>
          <c:idx val="1"/>
          <c:order val="1"/>
          <c:tx>
            <c:v>Projeção McKinsey</c:v>
          </c:tx>
          <c:spPr>
            <a:solidFill>
              <a:schemeClr val="accent2"/>
            </a:solidFill>
            <a:ln>
              <a:noFill/>
            </a:ln>
            <a:effectLst/>
          </c:spPr>
          <c:invertIfNegative val="0"/>
          <c:cat>
            <c:numRef>
              <c:f>'Mercado Global de Carros'!$K$29:$V$29</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Carros'!$K$61:$V$61</c:f>
              <c:numCache>
                <c:formatCode>0.00%</c:formatCode>
                <c:ptCount val="12"/>
                <c:pt idx="0" formatCode="0%">
                  <c:v>0.03</c:v>
                </c:pt>
                <c:pt idx="1">
                  <c:v>0.09</c:v>
                </c:pt>
                <c:pt idx="3" formatCode="0%">
                  <c:v>0.2</c:v>
                </c:pt>
                <c:pt idx="11" formatCode="0%">
                  <c:v>0.48</c:v>
                </c:pt>
              </c:numCache>
            </c:numRef>
          </c:val>
          <c:extLst>
            <c:ext xmlns:c16="http://schemas.microsoft.com/office/drawing/2014/chart" uri="{C3380CC4-5D6E-409C-BE32-E72D297353CC}">
              <c16:uniqueId val="{00000001-FA82-49A6-876F-57B9A38CD080}"/>
            </c:ext>
          </c:extLst>
        </c:ser>
        <c:dLbls>
          <c:showLegendKey val="0"/>
          <c:showVal val="0"/>
          <c:showCatName val="0"/>
          <c:showSerName val="0"/>
          <c:showPercent val="0"/>
          <c:showBubbleSize val="0"/>
        </c:dLbls>
        <c:gapWidth val="219"/>
        <c:overlap val="-27"/>
        <c:axId val="1824991727"/>
        <c:axId val="1824985903"/>
      </c:barChart>
      <c:catAx>
        <c:axId val="182499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985903"/>
        <c:crosses val="autoZero"/>
        <c:auto val="1"/>
        <c:lblAlgn val="ctr"/>
        <c:lblOffset val="100"/>
        <c:noMultiLvlLbl val="0"/>
      </c:catAx>
      <c:valAx>
        <c:axId val="18249859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991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Marke</a:t>
            </a:r>
            <a:r>
              <a:rPr lang="pt-BR" baseline="0"/>
              <a:t>t Share</a:t>
            </a:r>
            <a:r>
              <a:rPr lang="pt-BR"/>
              <a:t> EV Estados</a:t>
            </a:r>
            <a:r>
              <a:rPr lang="pt-BR" baseline="0"/>
              <a:t> Unidos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Projeção em S</c:v>
          </c:tx>
          <c:spPr>
            <a:solidFill>
              <a:schemeClr val="accent1"/>
            </a:solidFill>
            <a:ln>
              <a:noFill/>
            </a:ln>
            <a:effectLst/>
          </c:spPr>
          <c:invertIfNegative val="0"/>
          <c:cat>
            <c:numRef>
              <c:f>'Mercado Global de Carros'!$K$29:$V$29</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Carros'!$K$73:$V$73</c:f>
              <c:numCache>
                <c:formatCode>0%</c:formatCode>
                <c:ptCount val="12"/>
                <c:pt idx="0">
                  <c:v>2.1379060106475313E-2</c:v>
                </c:pt>
                <c:pt idx="1">
                  <c:v>0.03</c:v>
                </c:pt>
                <c:pt idx="2">
                  <c:v>0.04</c:v>
                </c:pt>
                <c:pt idx="3">
                  <c:v>0.05</c:v>
                </c:pt>
                <c:pt idx="4">
                  <c:v>7.0000000000000007E-2</c:v>
                </c:pt>
                <c:pt idx="5">
                  <c:v>8.8268170647789274E-2</c:v>
                </c:pt>
                <c:pt idx="6">
                  <c:v>0.1208910365629096</c:v>
                </c:pt>
                <c:pt idx="7">
                  <c:v>0.14521924692901123</c:v>
                </c:pt>
                <c:pt idx="8">
                  <c:v>0.15882979070066786</c:v>
                </c:pt>
                <c:pt idx="9">
                  <c:v>0.16524855515882564</c:v>
                </c:pt>
                <c:pt idx="10">
                  <c:v>0.1680311966034671</c:v>
                </c:pt>
                <c:pt idx="11">
                  <c:v>0.16967095364490428</c:v>
                </c:pt>
              </c:numCache>
            </c:numRef>
          </c:val>
          <c:extLst>
            <c:ext xmlns:c16="http://schemas.microsoft.com/office/drawing/2014/chart" uri="{C3380CC4-5D6E-409C-BE32-E72D297353CC}">
              <c16:uniqueId val="{00000000-ED4A-4466-81FF-8A9FCE415EFA}"/>
            </c:ext>
          </c:extLst>
        </c:ser>
        <c:ser>
          <c:idx val="1"/>
          <c:order val="1"/>
          <c:tx>
            <c:v>Projeção McKinsey</c:v>
          </c:tx>
          <c:spPr>
            <a:solidFill>
              <a:schemeClr val="accent2"/>
            </a:solidFill>
            <a:ln>
              <a:noFill/>
            </a:ln>
            <a:effectLst/>
          </c:spPr>
          <c:invertIfNegative val="0"/>
          <c:cat>
            <c:numRef>
              <c:f>'Mercado Global de Carros'!$K$29:$V$29</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Carros'!$K$74:$V$74</c:f>
              <c:numCache>
                <c:formatCode>0.00%</c:formatCode>
                <c:ptCount val="12"/>
                <c:pt idx="0" formatCode="0%">
                  <c:v>0.02</c:v>
                </c:pt>
                <c:pt idx="1">
                  <c:v>3.5000000000000003E-2</c:v>
                </c:pt>
                <c:pt idx="11" formatCode="0%">
                  <c:v>0.17</c:v>
                </c:pt>
              </c:numCache>
            </c:numRef>
          </c:val>
          <c:extLst>
            <c:ext xmlns:c16="http://schemas.microsoft.com/office/drawing/2014/chart" uri="{C3380CC4-5D6E-409C-BE32-E72D297353CC}">
              <c16:uniqueId val="{00000001-ED4A-4466-81FF-8A9FCE415EFA}"/>
            </c:ext>
          </c:extLst>
        </c:ser>
        <c:dLbls>
          <c:showLegendKey val="0"/>
          <c:showVal val="0"/>
          <c:showCatName val="0"/>
          <c:showSerName val="0"/>
          <c:showPercent val="0"/>
          <c:showBubbleSize val="0"/>
        </c:dLbls>
        <c:gapWidth val="219"/>
        <c:overlap val="-27"/>
        <c:axId val="1824991727"/>
        <c:axId val="1824985903"/>
      </c:barChart>
      <c:catAx>
        <c:axId val="182499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985903"/>
        <c:crosses val="autoZero"/>
        <c:auto val="1"/>
        <c:lblAlgn val="ctr"/>
        <c:lblOffset val="100"/>
        <c:noMultiLvlLbl val="0"/>
      </c:catAx>
      <c:valAx>
        <c:axId val="18249859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991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sz="1100"/>
              <a:t>Projeção na evolução do market share EV vs ICE</a:t>
            </a:r>
            <a:r>
              <a:rPr lang="pt-BR" sz="1100" baseline="0"/>
              <a:t> (Global)</a:t>
            </a:r>
            <a:endParaRPr lang="pt-BR" sz="1100"/>
          </a:p>
        </c:rich>
      </c:tx>
      <c:layout>
        <c:manualLayout>
          <c:xMode val="edge"/>
          <c:yMode val="edge"/>
          <c:x val="0.12234011373578303"/>
          <c:y val="2.7777777777777776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percentStacked"/>
        <c:varyColors val="0"/>
        <c:ser>
          <c:idx val="1"/>
          <c:order val="0"/>
          <c:tx>
            <c:strRef>
              <c:f>'Mercado Global de Carros'!$A$34</c:f>
              <c:strCache>
                <c:ptCount val="1"/>
                <c:pt idx="0">
                  <c:v>EV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'Mercado Global de Carros'!$K$29:$V$29</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Carros'!$B$34:$V$34</c:f>
              <c:numCache>
                <c:formatCode>0%</c:formatCode>
                <c:ptCount val="12"/>
                <c:pt idx="0">
                  <c:v>4.3356237297977357E-2</c:v>
                </c:pt>
                <c:pt idx="1">
                  <c:v>7.6242382068163167E-2</c:v>
                </c:pt>
                <c:pt idx="2">
                  <c:v>0.1230767149675925</c:v>
                </c:pt>
                <c:pt idx="3">
                  <c:v>0.15417420627173936</c:v>
                </c:pt>
                <c:pt idx="4">
                  <c:v>0.18843628770649901</c:v>
                </c:pt>
                <c:pt idx="5">
                  <c:v>0.22226451043893275</c:v>
                </c:pt>
                <c:pt idx="6">
                  <c:v>0.26047907244147184</c:v>
                </c:pt>
                <c:pt idx="7">
                  <c:v>0.29626450795083825</c:v>
                </c:pt>
                <c:pt idx="8">
                  <c:v>0.32896152843275828</c:v>
                </c:pt>
                <c:pt idx="9">
                  <c:v>0.34941691583012913</c:v>
                </c:pt>
                <c:pt idx="10">
                  <c:v>0.35978532832180016</c:v>
                </c:pt>
                <c:pt idx="11">
                  <c:v>0.36982675352622674</c:v>
                </c:pt>
              </c:numCache>
            </c:numRef>
          </c:val>
          <c:extLst>
            <c:ext xmlns:c16="http://schemas.microsoft.com/office/drawing/2014/chart" uri="{C3380CC4-5D6E-409C-BE32-E72D297353CC}">
              <c16:uniqueId val="{00000001-6A20-4E7D-8F5F-7A3E702D84B4}"/>
            </c:ext>
          </c:extLst>
        </c:ser>
        <c:ser>
          <c:idx val="0"/>
          <c:order val="1"/>
          <c:tx>
            <c:v>ICE%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'Mercado Global de Carros'!$K$32:$V$32</c:f>
              <c:numCache>
                <c:formatCode>_-* #,##0_-;\-* #,##0_-;_-* "-"??_-;_-@_-</c:formatCode>
                <c:ptCount val="12"/>
                <c:pt idx="0">
                  <c:v>0.95664376270202267</c:v>
                </c:pt>
                <c:pt idx="1">
                  <c:v>0.92375761793183686</c:v>
                </c:pt>
                <c:pt idx="2">
                  <c:v>0.87692328503240746</c:v>
                </c:pt>
                <c:pt idx="3">
                  <c:v>0.84582579372826061</c:v>
                </c:pt>
                <c:pt idx="4">
                  <c:v>0.8115637122935011</c:v>
                </c:pt>
                <c:pt idx="5">
                  <c:v>0.77773548956106719</c:v>
                </c:pt>
                <c:pt idx="6">
                  <c:v>0.73952092755852805</c:v>
                </c:pt>
                <c:pt idx="7">
                  <c:v>0.70373549204916186</c:v>
                </c:pt>
                <c:pt idx="8">
                  <c:v>0.67103847156724183</c:v>
                </c:pt>
                <c:pt idx="9">
                  <c:v>0.6505830841698711</c:v>
                </c:pt>
                <c:pt idx="10">
                  <c:v>0.6402146716781999</c:v>
                </c:pt>
                <c:pt idx="11">
                  <c:v>0.63017324647377337</c:v>
                </c:pt>
              </c:numCache>
            </c:numRef>
          </c:val>
          <c:extLst>
            <c:ext xmlns:c16="http://schemas.microsoft.com/office/drawing/2014/chart" uri="{C3380CC4-5D6E-409C-BE32-E72D297353CC}">
              <c16:uniqueId val="{00000003-6A20-4E7D-8F5F-7A3E702D84B4}"/>
            </c:ext>
          </c:extLst>
        </c:ser>
        <c:dLbls>
          <c:showLegendKey val="0"/>
          <c:showVal val="0"/>
          <c:showCatName val="0"/>
          <c:showSerName val="0"/>
          <c:showPercent val="0"/>
          <c:showBubbleSize val="0"/>
        </c:dLbls>
        <c:gapWidth val="150"/>
        <c:overlap val="100"/>
        <c:axId val="2033635392"/>
        <c:axId val="2033611680"/>
      </c:barChart>
      <c:catAx>
        <c:axId val="20336353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611680"/>
        <c:crosses val="autoZero"/>
        <c:auto val="1"/>
        <c:lblAlgn val="ctr"/>
        <c:lblOffset val="100"/>
        <c:noMultiLvlLbl val="0"/>
      </c:catAx>
      <c:valAx>
        <c:axId val="203361168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635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Projeção de Vendas</a:t>
            </a:r>
            <a:r>
              <a:rPr lang="pt-BR" baseline="0"/>
              <a:t> de Veículos por Ano (China) - unidades</a:t>
            </a:r>
            <a:endParaRPr lang="pt-BR"/>
          </a:p>
        </c:rich>
      </c:tx>
      <c:layout>
        <c:manualLayout>
          <c:xMode val="edge"/>
          <c:yMode val="edge"/>
          <c:x val="0.1327424577448176"/>
          <c:y val="2.30088581084182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'Mercado Global de Carros'!$A$51</c:f>
              <c:strCache>
                <c:ptCount val="1"/>
                <c:pt idx="0">
                  <c:v>Tesla</c:v>
                </c:pt>
              </c:strCache>
            </c:strRef>
          </c:tx>
          <c:spPr>
            <a:solidFill>
              <a:schemeClr val="accent1"/>
            </a:solidFill>
            <a:ln>
              <a:noFill/>
            </a:ln>
            <a:effectLst/>
          </c:spPr>
          <c:invertIfNegative val="0"/>
          <c:cat>
            <c:numRef>
              <c:f>'Mercado Global de Carros'!$K$29:$V$29</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Carros'!$B$51:$V$51</c:f>
              <c:numCache>
                <c:formatCode>_(* #,##0.00_);_(* \(#,##0.00\);_(* "-"??_);_(@_)</c:formatCode>
                <c:ptCount val="12"/>
                <c:pt idx="0">
                  <c:v>185614</c:v>
                </c:pt>
                <c:pt idx="1">
                  <c:v>335000</c:v>
                </c:pt>
                <c:pt idx="2">
                  <c:v>587655.77760000003</c:v>
                </c:pt>
                <c:pt idx="3">
                  <c:v>802838.57453999994</c:v>
                </c:pt>
                <c:pt idx="4">
                  <c:v>1049983.6786180199</c:v>
                </c:pt>
                <c:pt idx="5">
                  <c:v>1331681.531046262</c:v>
                </c:pt>
                <c:pt idx="6">
                  <c:v>1650686.3338478962</c:v>
                </c:pt>
                <c:pt idx="7">
                  <c:v>2009925.0952546757</c:v>
                </c:pt>
                <c:pt idx="8">
                  <c:v>2412507.1341154887</c:v>
                </c:pt>
                <c:pt idx="9">
                  <c:v>2731655.2441417929</c:v>
                </c:pt>
                <c:pt idx="10">
                  <c:v>3010994.6339147775</c:v>
                </c:pt>
                <c:pt idx="11">
                  <c:v>3312145.6993258437</c:v>
                </c:pt>
              </c:numCache>
            </c:numRef>
          </c:val>
          <c:extLst>
            <c:ext xmlns:c16="http://schemas.microsoft.com/office/drawing/2014/chart" uri="{C3380CC4-5D6E-409C-BE32-E72D297353CC}">
              <c16:uniqueId val="{00000000-B2B8-4BB3-9AE5-389B5CEBE5CC}"/>
            </c:ext>
          </c:extLst>
        </c:ser>
        <c:ser>
          <c:idx val="1"/>
          <c:order val="1"/>
          <c:tx>
            <c:strRef>
              <c:f>'Mercado Global de Carros'!$A$49</c:f>
              <c:strCache>
                <c:ptCount val="1"/>
                <c:pt idx="0">
                  <c:v>Outros Evs</c:v>
                </c:pt>
              </c:strCache>
            </c:strRef>
          </c:tx>
          <c:spPr>
            <a:solidFill>
              <a:schemeClr val="accent2"/>
            </a:solidFill>
            <a:ln>
              <a:noFill/>
            </a:ln>
            <a:effectLst/>
          </c:spPr>
          <c:invertIfNegative val="0"/>
          <c:cat>
            <c:numRef>
              <c:f>'Mercado Global de Carros'!$K$29:$V$29</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Carros'!$B$49:$V$49</c:f>
              <c:numCache>
                <c:formatCode>_-* #,##0_-;\-* #,##0_-;_-* "-"??_-;_-@_-</c:formatCode>
                <c:ptCount val="12"/>
                <c:pt idx="0">
                  <c:v>1114386</c:v>
                </c:pt>
                <c:pt idx="1">
                  <c:v>2333230</c:v>
                </c:pt>
                <c:pt idx="2">
                  <c:v>3830933.1023999988</c:v>
                </c:pt>
                <c:pt idx="3">
                  <c:v>4913710.7889599986</c:v>
                </c:pt>
                <c:pt idx="4">
                  <c:v>6049970.6308489777</c:v>
                </c:pt>
                <c:pt idx="5">
                  <c:v>7241513.297635138</c:v>
                </c:pt>
                <c:pt idx="6">
                  <c:v>8490178.4063638151</c:v>
                </c:pt>
                <c:pt idx="7">
                  <c:v>9797844.2866293341</c:v>
                </c:pt>
                <c:pt idx="8">
                  <c:v>11166427.655051123</c:v>
                </c:pt>
                <c:pt idx="9">
                  <c:v>12025252.137985023</c:v>
                </c:pt>
                <c:pt idx="10">
                  <c:v>12626056.867074601</c:v>
                </c:pt>
                <c:pt idx="11">
                  <c:v>13248582.797303375</c:v>
                </c:pt>
              </c:numCache>
            </c:numRef>
          </c:val>
          <c:extLst>
            <c:ext xmlns:c16="http://schemas.microsoft.com/office/drawing/2014/chart" uri="{C3380CC4-5D6E-409C-BE32-E72D297353CC}">
              <c16:uniqueId val="{00000001-B2B8-4BB3-9AE5-389B5CEBE5CC}"/>
            </c:ext>
          </c:extLst>
        </c:ser>
        <c:ser>
          <c:idx val="2"/>
          <c:order val="2"/>
          <c:tx>
            <c:strRef>
              <c:f>'Mercado Global de Carros'!$A$43</c:f>
              <c:strCache>
                <c:ptCount val="1"/>
                <c:pt idx="0">
                  <c:v>ICE (Veículos a combustão)</c:v>
                </c:pt>
              </c:strCache>
            </c:strRef>
          </c:tx>
          <c:spPr>
            <a:solidFill>
              <a:schemeClr val="accent3"/>
            </a:solidFill>
            <a:ln>
              <a:noFill/>
            </a:ln>
            <a:effectLst/>
          </c:spPr>
          <c:invertIfNegative val="0"/>
          <c:cat>
            <c:numRef>
              <c:f>'Mercado Global de Carros'!$K$29:$V$29</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Carros'!$B$43:$V$43</c:f>
              <c:numCache>
                <c:formatCode>_-* #,##0_-;\-* #,##0_-;_-* "-"??_-;_-@_-</c:formatCode>
                <c:ptCount val="12"/>
                <c:pt idx="0">
                  <c:v>24480000</c:v>
                </c:pt>
                <c:pt idx="1">
                  <c:v>24014069.999999996</c:v>
                </c:pt>
                <c:pt idx="2">
                  <c:v>23197591.619999994</c:v>
                </c:pt>
                <c:pt idx="3">
                  <c:v>22866197.453999996</c:v>
                </c:pt>
                <c:pt idx="4">
                  <c:v>22483188.646645494</c:v>
                </c:pt>
                <c:pt idx="5">
                  <c:v>22045358.130895026</c:v>
                </c:pt>
                <c:pt idx="6">
                  <c:v>21549337.572949883</c:v>
                </c:pt>
                <c:pt idx="7">
                  <c:v>20991590.012238242</c:v>
                </c:pt>
                <c:pt idx="8">
                  <c:v>20368402.183749918</c:v>
                </c:pt>
                <c:pt idx="9">
                  <c:v>20378586.384841796</c:v>
                </c:pt>
                <c:pt idx="10">
                  <c:v>20728184.547823131</c:v>
                </c:pt>
                <c:pt idx="11">
                  <c:v>21077290.813891731</c:v>
                </c:pt>
              </c:numCache>
            </c:numRef>
          </c:val>
          <c:extLst>
            <c:ext xmlns:c16="http://schemas.microsoft.com/office/drawing/2014/chart" uri="{C3380CC4-5D6E-409C-BE32-E72D297353CC}">
              <c16:uniqueId val="{00000002-B2B8-4BB3-9AE5-389B5CEBE5CC}"/>
            </c:ext>
          </c:extLst>
        </c:ser>
        <c:dLbls>
          <c:showLegendKey val="0"/>
          <c:showVal val="0"/>
          <c:showCatName val="0"/>
          <c:showSerName val="0"/>
          <c:showPercent val="0"/>
          <c:showBubbleSize val="0"/>
        </c:dLbls>
        <c:gapWidth val="150"/>
        <c:overlap val="100"/>
        <c:axId val="2076578080"/>
        <c:axId val="2076576000"/>
      </c:barChart>
      <c:catAx>
        <c:axId val="20765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576000"/>
        <c:crosses val="autoZero"/>
        <c:auto val="1"/>
        <c:lblAlgn val="ctr"/>
        <c:lblOffset val="100"/>
        <c:noMultiLvlLbl val="0"/>
      </c:catAx>
      <c:valAx>
        <c:axId val="20765760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57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Projeção de Vendas</a:t>
            </a:r>
            <a:r>
              <a:rPr lang="pt-BR" baseline="0"/>
              <a:t> de Veículos por Ano (Europa) - unidades</a:t>
            </a:r>
            <a:endParaRPr lang="pt-BR"/>
          </a:p>
        </c:rich>
      </c:tx>
      <c:layout>
        <c:manualLayout>
          <c:xMode val="edge"/>
          <c:yMode val="edge"/>
          <c:x val="0.1327424577448176"/>
          <c:y val="2.30088581084182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'Mercado Global de Carros'!$A$64</c:f>
              <c:strCache>
                <c:ptCount val="1"/>
                <c:pt idx="0">
                  <c:v>Tesla</c:v>
                </c:pt>
              </c:strCache>
            </c:strRef>
          </c:tx>
          <c:spPr>
            <a:solidFill>
              <a:schemeClr val="accent1"/>
            </a:solidFill>
            <a:ln>
              <a:noFill/>
            </a:ln>
            <a:effectLst/>
          </c:spPr>
          <c:invertIfNegative val="0"/>
          <c:cat>
            <c:numRef>
              <c:f>'Mercado Global de Carros'!$K$29:$V$29</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Carros'!$B$64:$V$64</c:f>
              <c:numCache>
                <c:formatCode>_(* #,##0.00_);_(* \(#,##0.00\);_(* "-"??_);_(@_)</c:formatCode>
                <c:ptCount val="12"/>
                <c:pt idx="0">
                  <c:v>98000</c:v>
                </c:pt>
                <c:pt idx="1">
                  <c:v>229000</c:v>
                </c:pt>
                <c:pt idx="2">
                  <c:v>297676.79999999999</c:v>
                </c:pt>
                <c:pt idx="3">
                  <c:v>343956.24</c:v>
                </c:pt>
                <c:pt idx="4">
                  <c:v>387128.67840000003</c:v>
                </c:pt>
                <c:pt idx="5">
                  <c:v>419550.70521600009</c:v>
                </c:pt>
                <c:pt idx="6">
                  <c:v>478287.80394624005</c:v>
                </c:pt>
                <c:pt idx="7">
                  <c:v>513530.06318438402</c:v>
                </c:pt>
                <c:pt idx="8">
                  <c:v>549990.69767047535</c:v>
                </c:pt>
                <c:pt idx="9">
                  <c:v>587704.34551073646</c:v>
                </c:pt>
                <c:pt idx="10">
                  <c:v>626706.54298553988</c:v>
                </c:pt>
                <c:pt idx="11">
                  <c:v>694826.81939701177</c:v>
                </c:pt>
              </c:numCache>
            </c:numRef>
          </c:val>
          <c:extLst>
            <c:ext xmlns:c16="http://schemas.microsoft.com/office/drawing/2014/chart" uri="{C3380CC4-5D6E-409C-BE32-E72D297353CC}">
              <c16:uniqueId val="{00000000-ADFB-4926-8EEA-386EA070F2C7}"/>
            </c:ext>
          </c:extLst>
        </c:ser>
        <c:ser>
          <c:idx val="1"/>
          <c:order val="1"/>
          <c:tx>
            <c:strRef>
              <c:f>'Mercado Global de Carros'!$A$62</c:f>
              <c:strCache>
                <c:ptCount val="1"/>
                <c:pt idx="0">
                  <c:v>Outros Evs</c:v>
                </c:pt>
              </c:strCache>
            </c:strRef>
          </c:tx>
          <c:spPr>
            <a:solidFill>
              <a:schemeClr val="accent2"/>
            </a:solidFill>
            <a:ln>
              <a:noFill/>
            </a:ln>
            <a:effectLst/>
          </c:spPr>
          <c:invertIfNegative val="0"/>
          <c:cat>
            <c:numRef>
              <c:f>'Mercado Global de Carros'!$K$29:$V$29</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Carros'!$B$62:$V$62</c:f>
              <c:numCache>
                <c:formatCode>_-* #,##0_-;\-* #,##0_-;_-* "-"??_-;_-@_-</c:formatCode>
                <c:ptCount val="12"/>
                <c:pt idx="0">
                  <c:v>1262000</c:v>
                </c:pt>
                <c:pt idx="1">
                  <c:v>797000</c:v>
                </c:pt>
                <c:pt idx="2">
                  <c:v>1562803.2</c:v>
                </c:pt>
                <c:pt idx="3">
                  <c:v>2028155.76</c:v>
                </c:pt>
                <c:pt idx="4">
                  <c:v>2516336.4095999999</c:v>
                </c:pt>
                <c:pt idx="5">
                  <c:v>3035572.7495040009</c:v>
                </c:pt>
                <c:pt idx="6">
                  <c:v>3549398.9661273607</c:v>
                </c:pt>
                <c:pt idx="7">
                  <c:v>4108240.5054750722</c:v>
                </c:pt>
                <c:pt idx="8">
                  <c:v>4688015.9468102418</c:v>
                </c:pt>
                <c:pt idx="9">
                  <c:v>5289339.1095966287</c:v>
                </c:pt>
                <c:pt idx="10">
                  <c:v>5640358.8868698599</c:v>
                </c:pt>
                <c:pt idx="11">
                  <c:v>5975510.6468142997</c:v>
                </c:pt>
              </c:numCache>
            </c:numRef>
          </c:val>
          <c:extLst>
            <c:ext xmlns:c16="http://schemas.microsoft.com/office/drawing/2014/chart" uri="{C3380CC4-5D6E-409C-BE32-E72D297353CC}">
              <c16:uniqueId val="{00000001-ADFB-4926-8EEA-386EA070F2C7}"/>
            </c:ext>
          </c:extLst>
        </c:ser>
        <c:ser>
          <c:idx val="2"/>
          <c:order val="2"/>
          <c:tx>
            <c:strRef>
              <c:f>'Mercado Global de Carros'!$A$56</c:f>
              <c:strCache>
                <c:ptCount val="1"/>
                <c:pt idx="0">
                  <c:v>ICE (Veículos a combustão)</c:v>
                </c:pt>
              </c:strCache>
            </c:strRef>
          </c:tx>
          <c:spPr>
            <a:solidFill>
              <a:schemeClr val="accent3"/>
            </a:solidFill>
            <a:ln>
              <a:noFill/>
            </a:ln>
            <a:effectLst/>
          </c:spPr>
          <c:invertIfNegative val="0"/>
          <c:cat>
            <c:numRef>
              <c:f>'Mercado Global de Carros'!$K$29:$V$29</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Carros'!$B$56:$V$56</c:f>
              <c:numCache>
                <c:formatCode>_-* #,##0_-;\-* #,##0_-;_-* "-"??_-;_-@_-</c:formatCode>
                <c:ptCount val="12"/>
                <c:pt idx="0">
                  <c:v>10040000</c:v>
                </c:pt>
                <c:pt idx="1">
                  <c:v>10374000</c:v>
                </c:pt>
                <c:pt idx="2">
                  <c:v>9767520</c:v>
                </c:pt>
                <c:pt idx="3">
                  <c:v>9488448</c:v>
                </c:pt>
                <c:pt idx="4">
                  <c:v>9194306.1120000016</c:v>
                </c:pt>
                <c:pt idx="5">
                  <c:v>8884603.16928</c:v>
                </c:pt>
                <c:pt idx="6">
                  <c:v>8558834.3864063993</c:v>
                </c:pt>
                <c:pt idx="7">
                  <c:v>8216481.0109501444</c:v>
                </c:pt>
                <c:pt idx="8">
                  <c:v>7857009.9667210756</c:v>
                </c:pt>
                <c:pt idx="9">
                  <c:v>7479873.4883184647</c:v>
                </c:pt>
                <c:pt idx="10">
                  <c:v>7356989.8524389472</c:v>
                </c:pt>
                <c:pt idx="11">
                  <c:v>7226198.9217289221</c:v>
                </c:pt>
              </c:numCache>
            </c:numRef>
          </c:val>
          <c:extLst>
            <c:ext xmlns:c16="http://schemas.microsoft.com/office/drawing/2014/chart" uri="{C3380CC4-5D6E-409C-BE32-E72D297353CC}">
              <c16:uniqueId val="{00000002-ADFB-4926-8EEA-386EA070F2C7}"/>
            </c:ext>
          </c:extLst>
        </c:ser>
        <c:dLbls>
          <c:showLegendKey val="0"/>
          <c:showVal val="0"/>
          <c:showCatName val="0"/>
          <c:showSerName val="0"/>
          <c:showPercent val="0"/>
          <c:showBubbleSize val="0"/>
        </c:dLbls>
        <c:gapWidth val="150"/>
        <c:overlap val="100"/>
        <c:axId val="2076578080"/>
        <c:axId val="2076576000"/>
      </c:barChart>
      <c:catAx>
        <c:axId val="20765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576000"/>
        <c:crosses val="autoZero"/>
        <c:auto val="1"/>
        <c:lblAlgn val="ctr"/>
        <c:lblOffset val="100"/>
        <c:noMultiLvlLbl val="0"/>
      </c:catAx>
      <c:valAx>
        <c:axId val="20765760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57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Projeção de Vendas</a:t>
            </a:r>
            <a:r>
              <a:rPr lang="pt-BR" baseline="0"/>
              <a:t> de Veículos por Ano (EUA) - unidades</a:t>
            </a:r>
            <a:endParaRPr lang="pt-BR"/>
          </a:p>
        </c:rich>
      </c:tx>
      <c:layout>
        <c:manualLayout>
          <c:xMode val="edge"/>
          <c:yMode val="edge"/>
          <c:x val="0.1327424577448176"/>
          <c:y val="2.30088581084182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'Mercado Global de Carros'!$A$77</c:f>
              <c:strCache>
                <c:ptCount val="1"/>
                <c:pt idx="0">
                  <c:v>Tesla</c:v>
                </c:pt>
              </c:strCache>
            </c:strRef>
          </c:tx>
          <c:spPr>
            <a:solidFill>
              <a:schemeClr val="accent1"/>
            </a:solidFill>
            <a:ln>
              <a:noFill/>
            </a:ln>
            <a:effectLst/>
          </c:spPr>
          <c:invertIfNegative val="0"/>
          <c:cat>
            <c:numRef>
              <c:f>'Mercado Global de Carros'!$K$29:$V$29</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Carros'!$B$77:$V$77</c:f>
              <c:numCache>
                <c:formatCode>_(* #,##0.00_);_(* \(#,##0.00\);_(* "-"??_);_(@_)</c:formatCode>
                <c:ptCount val="12"/>
                <c:pt idx="0">
                  <c:v>212800</c:v>
                </c:pt>
                <c:pt idx="1">
                  <c:v>444600</c:v>
                </c:pt>
                <c:pt idx="2">
                  <c:v>565120.80000000005</c:v>
                </c:pt>
                <c:pt idx="3">
                  <c:v>670121.64000000013</c:v>
                </c:pt>
                <c:pt idx="4">
                  <c:v>884951.96328000026</c:v>
                </c:pt>
                <c:pt idx="5">
                  <c:v>1045636.8915785288</c:v>
                </c:pt>
                <c:pt idx="6">
                  <c:v>1331397.8906618771</c:v>
                </c:pt>
                <c:pt idx="7">
                  <c:v>1472845.3687581157</c:v>
                </c:pt>
                <c:pt idx="8">
                  <c:v>1466314.5170431605</c:v>
                </c:pt>
                <c:pt idx="9">
                  <c:v>1368470.9602920855</c:v>
                </c:pt>
                <c:pt idx="10">
                  <c:v>1224757.4767465035</c:v>
                </c:pt>
                <c:pt idx="11">
                  <c:v>1061027.36158632</c:v>
                </c:pt>
              </c:numCache>
            </c:numRef>
          </c:val>
          <c:extLst>
            <c:ext xmlns:c16="http://schemas.microsoft.com/office/drawing/2014/chart" uri="{C3380CC4-5D6E-409C-BE32-E72D297353CC}">
              <c16:uniqueId val="{00000000-47B2-4EA4-90F8-0376ACD6A99E}"/>
            </c:ext>
          </c:extLst>
        </c:ser>
        <c:ser>
          <c:idx val="1"/>
          <c:order val="1"/>
          <c:tx>
            <c:strRef>
              <c:f>'Mercado Global de Carros'!$A$75</c:f>
              <c:strCache>
                <c:ptCount val="1"/>
                <c:pt idx="0">
                  <c:v>Outros Evs</c:v>
                </c:pt>
              </c:strCache>
            </c:strRef>
          </c:tx>
          <c:spPr>
            <a:solidFill>
              <a:schemeClr val="accent2"/>
            </a:solidFill>
            <a:ln>
              <a:noFill/>
            </a:ln>
            <a:effectLst/>
          </c:spPr>
          <c:invertIfNegative val="0"/>
          <c:cat>
            <c:numRef>
              <c:f>'Mercado Global de Carros'!$K$29:$V$29</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Carros'!$B$75:$V$75</c:f>
              <c:numCache>
                <c:formatCode>_-* #,##0_-;\-* #,##0_-;_-* "-"??_-;_-@_-</c:formatCode>
                <c:ptCount val="12"/>
                <c:pt idx="0">
                  <c:v>82200</c:v>
                </c:pt>
                <c:pt idx="1">
                  <c:v>68400</c:v>
                </c:pt>
                <c:pt idx="2">
                  <c:v>132559.19999999995</c:v>
                </c:pt>
                <c:pt idx="3">
                  <c:v>219420.35999999987</c:v>
                </c:pt>
                <c:pt idx="4">
                  <c:v>385314.01272</c:v>
                </c:pt>
                <c:pt idx="5">
                  <c:v>588170.75151292211</c:v>
                </c:pt>
                <c:pt idx="6">
                  <c:v>950998.49332991149</c:v>
                </c:pt>
                <c:pt idx="7">
                  <c:v>1323696.4706560273</c:v>
                </c:pt>
                <c:pt idx="8">
                  <c:v>1653503.6043252645</c:v>
                </c:pt>
                <c:pt idx="9">
                  <c:v>1942345.8791242489</c:v>
                </c:pt>
                <c:pt idx="10">
                  <c:v>2209141.9907670552</c:v>
                </c:pt>
                <c:pt idx="11">
                  <c:v>2475730.5103680799</c:v>
                </c:pt>
              </c:numCache>
            </c:numRef>
          </c:val>
          <c:extLst>
            <c:ext xmlns:c16="http://schemas.microsoft.com/office/drawing/2014/chart" uri="{C3380CC4-5D6E-409C-BE32-E72D297353CC}">
              <c16:uniqueId val="{00000001-47B2-4EA4-90F8-0376ACD6A99E}"/>
            </c:ext>
          </c:extLst>
        </c:ser>
        <c:ser>
          <c:idx val="2"/>
          <c:order val="2"/>
          <c:tx>
            <c:strRef>
              <c:f>'Mercado Global de Carros'!$A$69</c:f>
              <c:strCache>
                <c:ptCount val="1"/>
                <c:pt idx="0">
                  <c:v>ICE (Veículos a combustão)</c:v>
                </c:pt>
              </c:strCache>
            </c:strRef>
          </c:tx>
          <c:spPr>
            <a:solidFill>
              <a:schemeClr val="accent3"/>
            </a:solidFill>
            <a:ln>
              <a:noFill/>
            </a:ln>
            <a:effectLst/>
          </c:spPr>
          <c:invertIfNegative val="0"/>
          <c:cat>
            <c:numRef>
              <c:f>'Mercado Global de Carros'!$K$29:$V$29</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Carros'!$B$69:$V$69</c:f>
              <c:numCache>
                <c:formatCode>_-* #,##0_-;\-* #,##0_-;_-* "-"??_-;_-@_-</c:formatCode>
                <c:ptCount val="12"/>
                <c:pt idx="0">
                  <c:v>14905000</c:v>
                </c:pt>
                <c:pt idx="1">
                  <c:v>16587000</c:v>
                </c:pt>
                <c:pt idx="2">
                  <c:v>16744320</c:v>
                </c:pt>
                <c:pt idx="3">
                  <c:v>16901298</c:v>
                </c:pt>
                <c:pt idx="4">
                  <c:v>16876390.824000001</c:v>
                </c:pt>
                <c:pt idx="5">
                  <c:v>16875782.292908549</c:v>
                </c:pt>
                <c:pt idx="6">
                  <c:v>16597385.350728216</c:v>
                </c:pt>
                <c:pt idx="7">
                  <c:v>16460835.530000262</c:v>
                </c:pt>
                <c:pt idx="8">
                  <c:v>16522706.795434268</c:v>
                </c:pt>
                <c:pt idx="9">
                  <c:v>16724558.575722413</c:v>
                </c:pt>
                <c:pt idx="10">
                  <c:v>17002183.455927964</c:v>
                </c:pt>
                <c:pt idx="11">
                  <c:v>17308046.709955953</c:v>
                </c:pt>
              </c:numCache>
            </c:numRef>
          </c:val>
          <c:extLst>
            <c:ext xmlns:c16="http://schemas.microsoft.com/office/drawing/2014/chart" uri="{C3380CC4-5D6E-409C-BE32-E72D297353CC}">
              <c16:uniqueId val="{00000002-47B2-4EA4-90F8-0376ACD6A99E}"/>
            </c:ext>
          </c:extLst>
        </c:ser>
        <c:dLbls>
          <c:showLegendKey val="0"/>
          <c:showVal val="0"/>
          <c:showCatName val="0"/>
          <c:showSerName val="0"/>
          <c:showPercent val="0"/>
          <c:showBubbleSize val="0"/>
        </c:dLbls>
        <c:gapWidth val="150"/>
        <c:overlap val="100"/>
        <c:axId val="2076578080"/>
        <c:axId val="2076576000"/>
      </c:barChart>
      <c:catAx>
        <c:axId val="20765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576000"/>
        <c:crosses val="autoZero"/>
        <c:auto val="1"/>
        <c:lblAlgn val="ctr"/>
        <c:lblOffset val="100"/>
        <c:noMultiLvlLbl val="0"/>
      </c:catAx>
      <c:valAx>
        <c:axId val="20765760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57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Projeção de Vendas</a:t>
            </a:r>
            <a:r>
              <a:rPr lang="pt-BR" baseline="0"/>
              <a:t> de Veículos por Ano (China, EUA e EU) - unidades</a:t>
            </a:r>
            <a:endParaRPr lang="pt-BR"/>
          </a:p>
        </c:rich>
      </c:tx>
      <c:layout>
        <c:manualLayout>
          <c:xMode val="edge"/>
          <c:yMode val="edge"/>
          <c:x val="0.1327424577448176"/>
          <c:y val="2.30088581084182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'Mercado Global de Carros'!$A$37</c:f>
              <c:strCache>
                <c:ptCount val="1"/>
                <c:pt idx="0">
                  <c:v>Tesla</c:v>
                </c:pt>
              </c:strCache>
            </c:strRef>
          </c:tx>
          <c:spPr>
            <a:solidFill>
              <a:schemeClr val="accent1"/>
            </a:solidFill>
            <a:ln>
              <a:noFill/>
            </a:ln>
            <a:effectLst/>
          </c:spPr>
          <c:invertIfNegative val="0"/>
          <c:cat>
            <c:numRef>
              <c:f>'Mercado Global de Carros'!$K$29:$V$29</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Carros'!$B$37:$V$37</c:f>
              <c:numCache>
                <c:formatCode>_-* #,##0_-;\-* #,##0_-;_-* "-"??_-;_-@_-</c:formatCode>
                <c:ptCount val="12"/>
                <c:pt idx="0">
                  <c:v>496414</c:v>
                </c:pt>
                <c:pt idx="1">
                  <c:v>1008600</c:v>
                </c:pt>
                <c:pt idx="2">
                  <c:v>1450453.3776</c:v>
                </c:pt>
                <c:pt idx="3">
                  <c:v>1816916.4545400001</c:v>
                </c:pt>
                <c:pt idx="4">
                  <c:v>2322064.3202980203</c:v>
                </c:pt>
                <c:pt idx="5">
                  <c:v>2796869.1278407909</c:v>
                </c:pt>
                <c:pt idx="6">
                  <c:v>3460372.0284560132</c:v>
                </c:pt>
                <c:pt idx="7">
                  <c:v>3996300.5271971757</c:v>
                </c:pt>
                <c:pt idx="8">
                  <c:v>4428812.3488291241</c:v>
                </c:pt>
                <c:pt idx="9">
                  <c:v>4687830.549944615</c:v>
                </c:pt>
                <c:pt idx="10">
                  <c:v>4862458.6536468212</c:v>
                </c:pt>
                <c:pt idx="11">
                  <c:v>5067999.8803091757</c:v>
                </c:pt>
              </c:numCache>
            </c:numRef>
          </c:val>
          <c:extLst>
            <c:ext xmlns:c16="http://schemas.microsoft.com/office/drawing/2014/chart" uri="{C3380CC4-5D6E-409C-BE32-E72D297353CC}">
              <c16:uniqueId val="{00000000-6D6F-4FB4-9000-B61A5EE0CBF5}"/>
            </c:ext>
          </c:extLst>
        </c:ser>
        <c:ser>
          <c:idx val="1"/>
          <c:order val="1"/>
          <c:tx>
            <c:strRef>
              <c:f>'Mercado Global de Carros'!$A$36</c:f>
              <c:strCache>
                <c:ptCount val="1"/>
                <c:pt idx="0">
                  <c:v>Outros Evs</c:v>
                </c:pt>
              </c:strCache>
            </c:strRef>
          </c:tx>
          <c:spPr>
            <a:solidFill>
              <a:schemeClr val="accent2"/>
            </a:solidFill>
            <a:ln>
              <a:noFill/>
            </a:ln>
            <a:effectLst/>
          </c:spPr>
          <c:invertIfNegative val="0"/>
          <c:cat>
            <c:numRef>
              <c:f>'Mercado Global de Carros'!$K$29:$V$29</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Carros'!$B$36:$V$36</c:f>
              <c:numCache>
                <c:formatCode>_-* #,##0_-;\-* #,##0_-;_-* "-"??_-;_-@_-</c:formatCode>
                <c:ptCount val="12"/>
                <c:pt idx="0">
                  <c:v>1743586</c:v>
                </c:pt>
                <c:pt idx="1">
                  <c:v>3198630</c:v>
                </c:pt>
                <c:pt idx="2">
                  <c:v>5526295.5023999987</c:v>
                </c:pt>
                <c:pt idx="3">
                  <c:v>7161286.9089599987</c:v>
                </c:pt>
                <c:pt idx="4">
                  <c:v>8951621.0531689767</c:v>
                </c:pt>
                <c:pt idx="5">
                  <c:v>10865256.79865206</c:v>
                </c:pt>
                <c:pt idx="6">
                  <c:v>12990575.865821086</c:v>
                </c:pt>
                <c:pt idx="7">
                  <c:v>15229781.262760434</c:v>
                </c:pt>
                <c:pt idx="8">
                  <c:v>17507947.206186634</c:v>
                </c:pt>
                <c:pt idx="9">
                  <c:v>19256937.1267059</c:v>
                </c:pt>
                <c:pt idx="10">
                  <c:v>20475557.744711518</c:v>
                </c:pt>
                <c:pt idx="11">
                  <c:v>21699823.954485752</c:v>
                </c:pt>
              </c:numCache>
            </c:numRef>
          </c:val>
          <c:extLst>
            <c:ext xmlns:c16="http://schemas.microsoft.com/office/drawing/2014/chart" uri="{C3380CC4-5D6E-409C-BE32-E72D297353CC}">
              <c16:uniqueId val="{00000001-6D6F-4FB4-9000-B61A5EE0CBF5}"/>
            </c:ext>
          </c:extLst>
        </c:ser>
        <c:ser>
          <c:idx val="2"/>
          <c:order val="2"/>
          <c:tx>
            <c:strRef>
              <c:f>'Mercado Global de Carros'!$A$31</c:f>
              <c:strCache>
                <c:ptCount val="1"/>
                <c:pt idx="0">
                  <c:v>ICE (Veículos a combustão)</c:v>
                </c:pt>
              </c:strCache>
            </c:strRef>
          </c:tx>
          <c:spPr>
            <a:solidFill>
              <a:schemeClr val="accent3"/>
            </a:solidFill>
            <a:ln>
              <a:noFill/>
            </a:ln>
            <a:effectLst/>
          </c:spPr>
          <c:invertIfNegative val="0"/>
          <c:cat>
            <c:numRef>
              <c:f>'Mercado Global de Carros'!$K$29:$V$29</c:f>
              <c:numCache>
                <c:formatCode>General</c:formatCode>
                <c:ptCount val="12"/>
                <c:pt idx="0">
                  <c:v>2020</c:v>
                </c:pt>
                <c:pt idx="1">
                  <c:v>2021</c:v>
                </c:pt>
                <c:pt idx="2">
                  <c:v>2022</c:v>
                </c:pt>
                <c:pt idx="3">
                  <c:v>2023</c:v>
                </c:pt>
                <c:pt idx="4">
                  <c:v>2024</c:v>
                </c:pt>
                <c:pt idx="5">
                  <c:v>2025</c:v>
                </c:pt>
                <c:pt idx="6">
                  <c:v>2026</c:v>
                </c:pt>
                <c:pt idx="7">
                  <c:v>2027</c:v>
                </c:pt>
                <c:pt idx="8">
                  <c:v>2028</c:v>
                </c:pt>
                <c:pt idx="9">
                  <c:v>2029</c:v>
                </c:pt>
                <c:pt idx="10">
                  <c:v>2030</c:v>
                </c:pt>
                <c:pt idx="11">
                  <c:v>2031</c:v>
                </c:pt>
              </c:numCache>
            </c:numRef>
          </c:cat>
          <c:val>
            <c:numRef>
              <c:f>'Mercado Global de Carros'!$B$31:$V$31</c:f>
              <c:numCache>
                <c:formatCode>_-* #,##0_-;\-* #,##0_-;_-* "-"??_-;_-@_-</c:formatCode>
                <c:ptCount val="12"/>
                <c:pt idx="0">
                  <c:v>49425000</c:v>
                </c:pt>
                <c:pt idx="1">
                  <c:v>50975070</c:v>
                </c:pt>
                <c:pt idx="2">
                  <c:v>49709431.61999999</c:v>
                </c:pt>
                <c:pt idx="3">
                  <c:v>49255943.453999996</c:v>
                </c:pt>
                <c:pt idx="4">
                  <c:v>48553885.582645498</c:v>
                </c:pt>
                <c:pt idx="5">
                  <c:v>47805743.593083575</c:v>
                </c:pt>
                <c:pt idx="6">
                  <c:v>46705557.310084499</c:v>
                </c:pt>
                <c:pt idx="7">
                  <c:v>45668906.553188652</c:v>
                </c:pt>
                <c:pt idx="8">
                  <c:v>44748118.945905261</c:v>
                </c:pt>
                <c:pt idx="9">
                  <c:v>44583018.448882677</c:v>
                </c:pt>
                <c:pt idx="10">
                  <c:v>45087357.856190041</c:v>
                </c:pt>
                <c:pt idx="11">
                  <c:v>45611536.445576608</c:v>
                </c:pt>
              </c:numCache>
            </c:numRef>
          </c:val>
          <c:extLst>
            <c:ext xmlns:c16="http://schemas.microsoft.com/office/drawing/2014/chart" uri="{C3380CC4-5D6E-409C-BE32-E72D297353CC}">
              <c16:uniqueId val="{00000002-6D6F-4FB4-9000-B61A5EE0CBF5}"/>
            </c:ext>
          </c:extLst>
        </c:ser>
        <c:dLbls>
          <c:showLegendKey val="0"/>
          <c:showVal val="0"/>
          <c:showCatName val="0"/>
          <c:showSerName val="0"/>
          <c:showPercent val="0"/>
          <c:showBubbleSize val="0"/>
        </c:dLbls>
        <c:gapWidth val="150"/>
        <c:overlap val="100"/>
        <c:axId val="2076578080"/>
        <c:axId val="2076576000"/>
      </c:barChart>
      <c:catAx>
        <c:axId val="20765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576000"/>
        <c:crosses val="autoZero"/>
        <c:auto val="1"/>
        <c:lblAlgn val="ctr"/>
        <c:lblOffset val="100"/>
        <c:noMultiLvlLbl val="0"/>
      </c:catAx>
      <c:valAx>
        <c:axId val="20765760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57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Market Share Tesla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'Mercado Global de Carros'!$A$38</c:f>
              <c:strCache>
                <c:ptCount val="1"/>
                <c:pt idx="0">
                  <c:v>Tesla Total Market Share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'Mercado Global de Carros'!$L$29:$V$29</c:f>
              <c:numCache>
                <c:formatCode>General</c:formatCode>
                <c:ptCount val="11"/>
                <c:pt idx="0">
                  <c:v>2021</c:v>
                </c:pt>
                <c:pt idx="1">
                  <c:v>2022</c:v>
                </c:pt>
                <c:pt idx="2">
                  <c:v>2023</c:v>
                </c:pt>
                <c:pt idx="3">
                  <c:v>2024</c:v>
                </c:pt>
                <c:pt idx="4">
                  <c:v>2025</c:v>
                </c:pt>
                <c:pt idx="5">
                  <c:v>2026</c:v>
                </c:pt>
                <c:pt idx="6">
                  <c:v>2027</c:v>
                </c:pt>
                <c:pt idx="7">
                  <c:v>2028</c:v>
                </c:pt>
                <c:pt idx="8">
                  <c:v>2029</c:v>
                </c:pt>
                <c:pt idx="9">
                  <c:v>2030</c:v>
                </c:pt>
                <c:pt idx="10">
                  <c:v>2031</c:v>
                </c:pt>
              </c:numCache>
            </c:numRef>
          </c:cat>
          <c:val>
            <c:numRef>
              <c:f>'Mercado Global de Carros'!$L$38:$V$38</c:f>
              <c:numCache>
                <c:formatCode>_(* #,##0.00_);_(* \(#,##0.00\);_(* "-"??_);_(@_)</c:formatCode>
                <c:ptCount val="11"/>
                <c:pt idx="0">
                  <c:v>1.8277599882571043E-2</c:v>
                </c:pt>
                <c:pt idx="1">
                  <c:v>2.5587424744554808E-2</c:v>
                </c:pt>
                <c:pt idx="2">
                  <c:v>3.1200190160491831E-2</c:v>
                </c:pt>
                <c:pt idx="3">
                  <c:v>3.8812612365650097E-2</c:v>
                </c:pt>
                <c:pt idx="4">
                  <c:v>4.5501318814214597E-2</c:v>
                </c:pt>
                <c:pt idx="5">
                  <c:v>5.4790429224336482E-2</c:v>
                </c:pt>
                <c:pt idx="6">
                  <c:v>6.1581034671982282E-2</c:v>
                </c:pt>
                <c:pt idx="7">
                  <c:v>6.6414042409449037E-2</c:v>
                </c:pt>
                <c:pt idx="8">
                  <c:v>6.8407733781989902E-2</c:v>
                </c:pt>
                <c:pt idx="9">
                  <c:v>6.9044129408127111E-2</c:v>
                </c:pt>
                <c:pt idx="10">
                  <c:v>7.001995956689272E-2</c:v>
                </c:pt>
              </c:numCache>
            </c:numRef>
          </c:val>
          <c:smooth val="0"/>
          <c:extLst>
            <c:ext xmlns:c16="http://schemas.microsoft.com/office/drawing/2014/chart" uri="{C3380CC4-5D6E-409C-BE32-E72D297353CC}">
              <c16:uniqueId val="{00000000-D736-4473-A1FC-03FCAD7DC162}"/>
            </c:ext>
          </c:extLst>
        </c:ser>
        <c:ser>
          <c:idx val="1"/>
          <c:order val="1"/>
          <c:tx>
            <c:strRef>
              <c:f>'Mercado Global de Carros'!$A$39</c:f>
              <c:strCache>
                <c:ptCount val="1"/>
                <c:pt idx="0">
                  <c:v>Tesla EV Market Share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'Mercado Global de Carros'!$L$29:$V$29</c:f>
              <c:numCache>
                <c:formatCode>General</c:formatCode>
                <c:ptCount val="11"/>
                <c:pt idx="0">
                  <c:v>2021</c:v>
                </c:pt>
                <c:pt idx="1">
                  <c:v>2022</c:v>
                </c:pt>
                <c:pt idx="2">
                  <c:v>2023</c:v>
                </c:pt>
                <c:pt idx="3">
                  <c:v>2024</c:v>
                </c:pt>
                <c:pt idx="4">
                  <c:v>2025</c:v>
                </c:pt>
                <c:pt idx="5">
                  <c:v>2026</c:v>
                </c:pt>
                <c:pt idx="6">
                  <c:v>2027</c:v>
                </c:pt>
                <c:pt idx="7">
                  <c:v>2028</c:v>
                </c:pt>
                <c:pt idx="8">
                  <c:v>2029</c:v>
                </c:pt>
                <c:pt idx="9">
                  <c:v>2030</c:v>
                </c:pt>
                <c:pt idx="10">
                  <c:v>2031</c:v>
                </c:pt>
              </c:numCache>
            </c:numRef>
          </c:cat>
          <c:val>
            <c:numRef>
              <c:f>'Mercado Global de Carros'!$L$39:$V$39</c:f>
              <c:numCache>
                <c:formatCode>0.0%</c:formatCode>
                <c:ptCount val="11"/>
                <c:pt idx="0" formatCode="0.00%">
                  <c:v>0.23973017876369962</c:v>
                </c:pt>
                <c:pt idx="1">
                  <c:v>0.20789817758210616</c:v>
                </c:pt>
                <c:pt idx="2">
                  <c:v>0.20236971485035579</c:v>
                </c:pt>
                <c:pt idx="3">
                  <c:v>0.2059720706560676</c:v>
                </c:pt>
                <c:pt idx="4">
                  <c:v>0.20471697764234881</c:v>
                </c:pt>
                <c:pt idx="5">
                  <c:v>0.21034484156744523</c:v>
                </c:pt>
                <c:pt idx="6">
                  <c:v>0.20785829223323962</c:v>
                </c:pt>
                <c:pt idx="7">
                  <c:v>0.20188999827991883</c:v>
                </c:pt>
                <c:pt idx="8">
                  <c:v>0.19577682328135104</c:v>
                </c:pt>
                <c:pt idx="9">
                  <c:v>0.19190368248249545</c:v>
                </c:pt>
                <c:pt idx="10">
                  <c:v>0.18933178548946478</c:v>
                </c:pt>
              </c:numCache>
            </c:numRef>
          </c:val>
          <c:smooth val="0"/>
          <c:extLst>
            <c:ext xmlns:c16="http://schemas.microsoft.com/office/drawing/2014/chart" uri="{C3380CC4-5D6E-409C-BE32-E72D297353CC}">
              <c16:uniqueId val="{00000001-D736-4473-A1FC-03FCAD7DC162}"/>
            </c:ext>
          </c:extLst>
        </c:ser>
        <c:dLbls>
          <c:showLegendKey val="0"/>
          <c:showVal val="0"/>
          <c:showCatName val="0"/>
          <c:showSerName val="0"/>
          <c:showPercent val="0"/>
          <c:showBubbleSize val="0"/>
        </c:dLbls>
        <c:marker val="1"/>
        <c:smooth val="0"/>
        <c:axId val="1950675712"/>
        <c:axId val="1950676544"/>
      </c:lineChart>
      <c:catAx>
        <c:axId val="195067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76544"/>
        <c:crosses val="autoZero"/>
        <c:auto val="1"/>
        <c:lblAlgn val="ctr"/>
        <c:lblOffset val="100"/>
        <c:noMultiLvlLbl val="0"/>
      </c:catAx>
      <c:valAx>
        <c:axId val="195067654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75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27</xdr:col>
      <xdr:colOff>73268</xdr:colOff>
      <xdr:row>35</xdr:row>
      <xdr:rowOff>21982</xdr:rowOff>
    </xdr:from>
    <xdr:to>
      <xdr:col>36</xdr:col>
      <xdr:colOff>271095</xdr:colOff>
      <xdr:row>54</xdr:row>
      <xdr:rowOff>60081</xdr:rowOff>
    </xdr:to>
    <xdr:graphicFrame macro="">
      <xdr:nvGraphicFramePr>
        <xdr:cNvPr id="7" name="Gráfico 6">
          <a:extLst>
            <a:ext uri="{FF2B5EF4-FFF2-40B4-BE49-F238E27FC236}">
              <a16:creationId xmlns:a16="http://schemas.microsoft.com/office/drawing/2014/main" id="{986168CD-AD79-45DD-B6EC-53349917E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161192</xdr:colOff>
      <xdr:row>55</xdr:row>
      <xdr:rowOff>14654</xdr:rowOff>
    </xdr:from>
    <xdr:to>
      <xdr:col>36</xdr:col>
      <xdr:colOff>359019</xdr:colOff>
      <xdr:row>76</xdr:row>
      <xdr:rowOff>52753</xdr:rowOff>
    </xdr:to>
    <xdr:graphicFrame macro="">
      <xdr:nvGraphicFramePr>
        <xdr:cNvPr id="8" name="Gráfico 7">
          <a:extLst>
            <a:ext uri="{FF2B5EF4-FFF2-40B4-BE49-F238E27FC236}">
              <a16:creationId xmlns:a16="http://schemas.microsoft.com/office/drawing/2014/main" id="{FCF1D563-EAA7-47BF-8079-DC81B5FBD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175846</xdr:colOff>
      <xdr:row>78</xdr:row>
      <xdr:rowOff>0</xdr:rowOff>
    </xdr:from>
    <xdr:to>
      <xdr:col>36</xdr:col>
      <xdr:colOff>373673</xdr:colOff>
      <xdr:row>93</xdr:row>
      <xdr:rowOff>38099</xdr:rowOff>
    </xdr:to>
    <xdr:graphicFrame macro="">
      <xdr:nvGraphicFramePr>
        <xdr:cNvPr id="9" name="Gráfico 8">
          <a:extLst>
            <a:ext uri="{FF2B5EF4-FFF2-40B4-BE49-F238E27FC236}">
              <a16:creationId xmlns:a16="http://schemas.microsoft.com/office/drawing/2014/main" id="{53D034AC-E312-4E7B-8C70-9887CD927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587767</xdr:colOff>
      <xdr:row>14</xdr:row>
      <xdr:rowOff>162217</xdr:rowOff>
    </xdr:from>
    <xdr:to>
      <xdr:col>35</xdr:col>
      <xdr:colOff>173940</xdr:colOff>
      <xdr:row>34</xdr:row>
      <xdr:rowOff>3809</xdr:rowOff>
    </xdr:to>
    <xdr:graphicFrame macro="">
      <xdr:nvGraphicFramePr>
        <xdr:cNvPr id="2" name="Gráfico 1">
          <a:extLst>
            <a:ext uri="{FF2B5EF4-FFF2-40B4-BE49-F238E27FC236}">
              <a16:creationId xmlns:a16="http://schemas.microsoft.com/office/drawing/2014/main" id="{55D0F615-0D5E-43E7-9883-30235CF3E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390672</xdr:colOff>
      <xdr:row>35</xdr:row>
      <xdr:rowOff>19491</xdr:rowOff>
    </xdr:from>
    <xdr:to>
      <xdr:col>46</xdr:col>
      <xdr:colOff>131885</xdr:colOff>
      <xdr:row>53</xdr:row>
      <xdr:rowOff>42936</xdr:rowOff>
    </xdr:to>
    <xdr:graphicFrame macro="">
      <xdr:nvGraphicFramePr>
        <xdr:cNvPr id="5" name="Gráfico 4">
          <a:extLst>
            <a:ext uri="{FF2B5EF4-FFF2-40B4-BE49-F238E27FC236}">
              <a16:creationId xmlns:a16="http://schemas.microsoft.com/office/drawing/2014/main" id="{7D3DA579-7F9F-416B-BB70-5719136A0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0</xdr:colOff>
      <xdr:row>55</xdr:row>
      <xdr:rowOff>0</xdr:rowOff>
    </xdr:from>
    <xdr:to>
      <xdr:col>46</xdr:col>
      <xdr:colOff>356528</xdr:colOff>
      <xdr:row>76</xdr:row>
      <xdr:rowOff>17730</xdr:rowOff>
    </xdr:to>
    <xdr:graphicFrame macro="">
      <xdr:nvGraphicFramePr>
        <xdr:cNvPr id="10" name="Gráfico 9">
          <a:extLst>
            <a:ext uri="{FF2B5EF4-FFF2-40B4-BE49-F238E27FC236}">
              <a16:creationId xmlns:a16="http://schemas.microsoft.com/office/drawing/2014/main" id="{900B65CD-BF02-44B4-B16F-BEBA4FD28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0</xdr:colOff>
      <xdr:row>78</xdr:row>
      <xdr:rowOff>0</xdr:rowOff>
    </xdr:from>
    <xdr:to>
      <xdr:col>46</xdr:col>
      <xdr:colOff>352718</xdr:colOff>
      <xdr:row>94</xdr:row>
      <xdr:rowOff>25350</xdr:rowOff>
    </xdr:to>
    <xdr:graphicFrame macro="">
      <xdr:nvGraphicFramePr>
        <xdr:cNvPr id="11" name="Gráfico 10">
          <a:extLst>
            <a:ext uri="{FF2B5EF4-FFF2-40B4-BE49-F238E27FC236}">
              <a16:creationId xmlns:a16="http://schemas.microsoft.com/office/drawing/2014/main" id="{B425F04C-9636-42C6-BAC1-53FF4A991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36</xdr:col>
      <xdr:colOff>263769</xdr:colOff>
      <xdr:row>14</xdr:row>
      <xdr:rowOff>156357</xdr:rowOff>
    </xdr:from>
    <xdr:to>
      <xdr:col>46</xdr:col>
      <xdr:colOff>6887</xdr:colOff>
      <xdr:row>32</xdr:row>
      <xdr:rowOff>187569</xdr:rowOff>
    </xdr:to>
    <xdr:graphicFrame macro="">
      <xdr:nvGraphicFramePr>
        <xdr:cNvPr id="12" name="Gráfico 11">
          <a:extLst>
            <a:ext uri="{FF2B5EF4-FFF2-40B4-BE49-F238E27FC236}">
              <a16:creationId xmlns:a16="http://schemas.microsoft.com/office/drawing/2014/main" id="{E6376AED-BBC1-4067-8882-184CFE331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66</xdr:col>
      <xdr:colOff>195627</xdr:colOff>
      <xdr:row>14</xdr:row>
      <xdr:rowOff>14689</xdr:rowOff>
    </xdr:from>
    <xdr:to>
      <xdr:col>76</xdr:col>
      <xdr:colOff>378215</xdr:colOff>
      <xdr:row>32</xdr:row>
      <xdr:rowOff>17035</xdr:rowOff>
    </xdr:to>
    <xdr:graphicFrame macro="">
      <xdr:nvGraphicFramePr>
        <xdr:cNvPr id="6" name="Gráfico 5">
          <a:extLst>
            <a:ext uri="{FF2B5EF4-FFF2-40B4-BE49-F238E27FC236}">
              <a16:creationId xmlns:a16="http://schemas.microsoft.com/office/drawing/2014/main" id="{AE277E3D-AD55-4917-A38B-D9577356C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46</xdr:col>
      <xdr:colOff>216877</xdr:colOff>
      <xdr:row>14</xdr:row>
      <xdr:rowOff>158262</xdr:rowOff>
    </xdr:from>
    <xdr:to>
      <xdr:col>55</xdr:col>
      <xdr:colOff>565785</xdr:colOff>
      <xdr:row>32</xdr:row>
      <xdr:rowOff>191379</xdr:rowOff>
    </xdr:to>
    <xdr:graphicFrame macro="">
      <xdr:nvGraphicFramePr>
        <xdr:cNvPr id="13" name="Gráfico 12">
          <a:extLst>
            <a:ext uri="{FF2B5EF4-FFF2-40B4-BE49-F238E27FC236}">
              <a16:creationId xmlns:a16="http://schemas.microsoft.com/office/drawing/2014/main" id="{C5D436BE-D47D-4F5B-8C7D-EA54DA572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56</xdr:col>
      <xdr:colOff>205154</xdr:colOff>
      <xdr:row>14</xdr:row>
      <xdr:rowOff>117231</xdr:rowOff>
    </xdr:from>
    <xdr:to>
      <xdr:col>65</xdr:col>
      <xdr:colOff>552157</xdr:colOff>
      <xdr:row>32</xdr:row>
      <xdr:rowOff>152253</xdr:rowOff>
    </xdr:to>
    <xdr:graphicFrame macro="">
      <xdr:nvGraphicFramePr>
        <xdr:cNvPr id="14" name="Gráfico 13">
          <a:extLst>
            <a:ext uri="{FF2B5EF4-FFF2-40B4-BE49-F238E27FC236}">
              <a16:creationId xmlns:a16="http://schemas.microsoft.com/office/drawing/2014/main" id="{C32F0124-3F07-44F0-946C-9391F7FC2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27</xdr:col>
      <xdr:colOff>204107</xdr:colOff>
      <xdr:row>95</xdr:row>
      <xdr:rowOff>0</xdr:rowOff>
    </xdr:from>
    <xdr:to>
      <xdr:col>36</xdr:col>
      <xdr:colOff>346269</xdr:colOff>
      <xdr:row>113</xdr:row>
      <xdr:rowOff>55417</xdr:rowOff>
    </xdr:to>
    <xdr:graphicFrame macro="">
      <xdr:nvGraphicFramePr>
        <xdr:cNvPr id="15" name="Gráfico 14">
          <a:extLst>
            <a:ext uri="{FF2B5EF4-FFF2-40B4-BE49-F238E27FC236}">
              <a16:creationId xmlns:a16="http://schemas.microsoft.com/office/drawing/2014/main" id="{F2BE92B6-109A-47AA-9231-13A5C5491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1006930</xdr:colOff>
      <xdr:row>87</xdr:row>
      <xdr:rowOff>13607</xdr:rowOff>
    </xdr:from>
    <xdr:to>
      <xdr:col>17</xdr:col>
      <xdr:colOff>68036</xdr:colOff>
      <xdr:row>106</xdr:row>
      <xdr:rowOff>68035</xdr:rowOff>
    </xdr:to>
    <xdr:graphicFrame macro="">
      <xdr:nvGraphicFramePr>
        <xdr:cNvPr id="3" name="Gráfico 2">
          <a:extLst>
            <a:ext uri="{FF2B5EF4-FFF2-40B4-BE49-F238E27FC236}">
              <a16:creationId xmlns:a16="http://schemas.microsoft.com/office/drawing/2014/main" id="{2CFA4D25-7B62-4460-AB3C-8E14E692D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553017</xdr:colOff>
      <xdr:row>0</xdr:row>
      <xdr:rowOff>89063</xdr:rowOff>
    </xdr:from>
    <xdr:to>
      <xdr:col>27</xdr:col>
      <xdr:colOff>80291</xdr:colOff>
      <xdr:row>28</xdr:row>
      <xdr:rowOff>126138</xdr:rowOff>
    </xdr:to>
    <xdr:graphicFrame macro="">
      <xdr:nvGraphicFramePr>
        <xdr:cNvPr id="3" name="Gráfico 2">
          <a:extLst>
            <a:ext uri="{FF2B5EF4-FFF2-40B4-BE49-F238E27FC236}">
              <a16:creationId xmlns:a16="http://schemas.microsoft.com/office/drawing/2014/main" id="{2BC17724-0283-4664-BEBB-9A1E6BCCD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213781</xdr:colOff>
      <xdr:row>80</xdr:row>
      <xdr:rowOff>126806</xdr:rowOff>
    </xdr:from>
    <xdr:to>
      <xdr:col>28</xdr:col>
      <xdr:colOff>55678</xdr:colOff>
      <xdr:row>102</xdr:row>
      <xdr:rowOff>177133</xdr:rowOff>
    </xdr:to>
    <xdr:graphicFrame macro="">
      <xdr:nvGraphicFramePr>
        <xdr:cNvPr id="5" name="Gráfico 4">
          <a:extLst>
            <a:ext uri="{FF2B5EF4-FFF2-40B4-BE49-F238E27FC236}">
              <a16:creationId xmlns:a16="http://schemas.microsoft.com/office/drawing/2014/main" id="{C92BCA11-B336-45C6-B128-A6678264D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845242</xdr:colOff>
      <xdr:row>28</xdr:row>
      <xdr:rowOff>114133</xdr:rowOff>
    </xdr:from>
    <xdr:to>
      <xdr:col>24</xdr:col>
      <xdr:colOff>381496</xdr:colOff>
      <xdr:row>55</xdr:row>
      <xdr:rowOff>51103</xdr:rowOff>
    </xdr:to>
    <xdr:graphicFrame macro="">
      <xdr:nvGraphicFramePr>
        <xdr:cNvPr id="6" name="Gráfico 5">
          <a:extLst>
            <a:ext uri="{FF2B5EF4-FFF2-40B4-BE49-F238E27FC236}">
              <a16:creationId xmlns:a16="http://schemas.microsoft.com/office/drawing/2014/main" id="{4056B642-910B-49A9-BC73-1521E1DB2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29</xdr:row>
      <xdr:rowOff>0</xdr:rowOff>
    </xdr:from>
    <xdr:to>
      <xdr:col>36</xdr:col>
      <xdr:colOff>142044</xdr:colOff>
      <xdr:row>55</xdr:row>
      <xdr:rowOff>132936</xdr:rowOff>
    </xdr:to>
    <xdr:graphicFrame macro="">
      <xdr:nvGraphicFramePr>
        <xdr:cNvPr id="7" name="Gráfico 6">
          <a:extLst>
            <a:ext uri="{FF2B5EF4-FFF2-40B4-BE49-F238E27FC236}">
              <a16:creationId xmlns:a16="http://schemas.microsoft.com/office/drawing/2014/main" id="{2655E718-D473-44A7-8B52-4EFA62484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181803</xdr:colOff>
      <xdr:row>56</xdr:row>
      <xdr:rowOff>148259</xdr:rowOff>
    </xdr:from>
    <xdr:to>
      <xdr:col>29</xdr:col>
      <xdr:colOff>246159</xdr:colOff>
      <xdr:row>79</xdr:row>
      <xdr:rowOff>44477</xdr:rowOff>
    </xdr:to>
    <xdr:graphicFrame macro="">
      <xdr:nvGraphicFramePr>
        <xdr:cNvPr id="8" name="Gráfico 7">
          <a:extLst>
            <a:ext uri="{FF2B5EF4-FFF2-40B4-BE49-F238E27FC236}">
              <a16:creationId xmlns:a16="http://schemas.microsoft.com/office/drawing/2014/main" id="{A2556781-80E1-461B-BD17-700ED51C4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uisVargas/Desktop/Planilha%20Valuation%20Tesla%20(TSLA)%20okokok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o utilizar a planilha"/>
      <sheetName val="Mercado Global de Carros"/>
      <sheetName val="CB_DATA_"/>
      <sheetName val="Tesla"/>
    </sheetNames>
    <sheetDataSet>
      <sheetData sheetId="0" refreshError="1"/>
      <sheetData sheetId="1">
        <row r="29">
          <cell r="K29">
            <v>2019</v>
          </cell>
          <cell r="L29">
            <v>2020</v>
          </cell>
          <cell r="M29">
            <v>2021</v>
          </cell>
          <cell r="N29">
            <v>2022</v>
          </cell>
          <cell r="O29">
            <v>2023</v>
          </cell>
          <cell r="P29">
            <v>2024</v>
          </cell>
          <cell r="Q29">
            <v>2025</v>
          </cell>
          <cell r="R29">
            <v>2026</v>
          </cell>
          <cell r="S29">
            <v>2027</v>
          </cell>
          <cell r="T29">
            <v>2028</v>
          </cell>
          <cell r="U29">
            <v>2029</v>
          </cell>
          <cell r="V29">
            <v>2030</v>
          </cell>
        </row>
        <row r="47">
          <cell r="K47">
            <v>0.05</v>
          </cell>
          <cell r="L47">
            <v>0.1</v>
          </cell>
          <cell r="M47">
            <v>0.16</v>
          </cell>
          <cell r="N47">
            <v>0.2</v>
          </cell>
          <cell r="O47">
            <v>0.24</v>
          </cell>
          <cell r="P47">
            <v>0.28000000000000003</v>
          </cell>
          <cell r="Q47">
            <v>0.32</v>
          </cell>
          <cell r="R47">
            <v>0.36</v>
          </cell>
          <cell r="S47">
            <v>0.4</v>
          </cell>
          <cell r="T47">
            <v>0.42</v>
          </cell>
          <cell r="U47">
            <v>0.43</v>
          </cell>
          <cell r="V47">
            <v>0.44</v>
          </cell>
        </row>
        <row r="48">
          <cell r="K48">
            <v>0.05</v>
          </cell>
          <cell r="L48">
            <v>7.0000000000000007E-2</v>
          </cell>
          <cell r="V48">
            <v>0.44</v>
          </cell>
        </row>
      </sheetData>
      <sheetData sheetId="2" refreshError="1"/>
      <sheetData sheetId="3"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7DDEF-2809-45C0-90BF-ED5218810CFE}">
  <dimension ref="A7:Z86"/>
  <sheetViews>
    <sheetView showGridLines="0" topLeftCell="A76" zoomScale="70" zoomScaleNormal="70" workbookViewId="0">
      <selection activeCell="M61" sqref="M61"/>
    </sheetView>
  </sheetViews>
  <sheetFormatPr defaultRowHeight="15" x14ac:dyDescent="0.25"/>
  <cols>
    <col min="1" max="1" width="47.7109375" customWidth="1"/>
    <col min="2" max="6" width="6.140625" hidden="1" customWidth="1"/>
    <col min="7" max="8" width="13.28515625" hidden="1" customWidth="1"/>
    <col min="9" max="9" width="1.5703125" hidden="1" customWidth="1"/>
    <col min="10" max="10" width="0.5703125" hidden="1" customWidth="1"/>
    <col min="11" max="11" width="15.28515625" bestFit="1" customWidth="1"/>
    <col min="12" max="12" width="20.28515625" bestFit="1" customWidth="1"/>
    <col min="13" max="13" width="15.7109375" customWidth="1"/>
    <col min="14" max="14" width="13.85546875" bestFit="1" customWidth="1"/>
    <col min="15" max="15" width="18.140625" customWidth="1"/>
    <col min="16" max="22" width="13.85546875" bestFit="1" customWidth="1"/>
  </cols>
  <sheetData>
    <row r="7" spans="1:15" ht="15.75" thickBot="1" x14ac:dyDescent="0.3"/>
    <row r="8" spans="1:15" x14ac:dyDescent="0.25">
      <c r="A8" s="89" t="s">
        <v>84</v>
      </c>
      <c r="B8" s="40"/>
      <c r="C8" s="40"/>
      <c r="D8" s="40"/>
      <c r="E8" s="40"/>
      <c r="F8" s="40"/>
      <c r="G8" s="40"/>
      <c r="H8" s="40"/>
      <c r="I8" s="40"/>
      <c r="J8" s="40"/>
      <c r="N8" s="7" t="s">
        <v>109</v>
      </c>
    </row>
    <row r="9" spans="1:15" x14ac:dyDescent="0.25">
      <c r="A9" s="83" t="s">
        <v>131</v>
      </c>
      <c r="B9" s="84"/>
      <c r="C9" s="84"/>
      <c r="D9" s="84"/>
      <c r="E9" s="84"/>
      <c r="F9" s="84"/>
      <c r="G9" s="84"/>
      <c r="H9" s="84"/>
      <c r="I9" s="84"/>
      <c r="J9" s="84"/>
      <c r="K9" s="85">
        <v>3.5000000000000003E-2</v>
      </c>
      <c r="L9" t="s">
        <v>87</v>
      </c>
      <c r="N9" s="11"/>
      <c r="O9" t="s">
        <v>110</v>
      </c>
    </row>
    <row r="10" spans="1:15" x14ac:dyDescent="0.25">
      <c r="A10" s="83" t="s">
        <v>130</v>
      </c>
      <c r="B10" s="84"/>
      <c r="C10" s="84"/>
      <c r="D10" s="84"/>
      <c r="E10" s="84"/>
      <c r="F10" s="84"/>
      <c r="G10" s="84"/>
      <c r="H10" s="84"/>
      <c r="I10" s="84"/>
      <c r="J10" s="84"/>
      <c r="K10" s="85">
        <v>0.35</v>
      </c>
      <c r="L10" t="s">
        <v>88</v>
      </c>
      <c r="N10" s="3"/>
      <c r="O10" t="s">
        <v>110</v>
      </c>
    </row>
    <row r="11" spans="1:15" x14ac:dyDescent="0.25">
      <c r="A11" s="83" t="s">
        <v>129</v>
      </c>
      <c r="B11" s="84"/>
      <c r="C11" s="84"/>
      <c r="D11" s="84"/>
      <c r="E11" s="84"/>
      <c r="F11" s="84"/>
      <c r="G11" s="84"/>
      <c r="H11" s="84"/>
      <c r="I11" s="84"/>
      <c r="J11" s="84"/>
      <c r="K11" s="88">
        <f>L47</f>
        <v>0.1</v>
      </c>
      <c r="N11" s="13"/>
      <c r="O11" t="s">
        <v>111</v>
      </c>
    </row>
    <row r="12" spans="1:15" x14ac:dyDescent="0.25">
      <c r="A12" s="83" t="s">
        <v>132</v>
      </c>
      <c r="B12" s="84"/>
      <c r="C12" s="84"/>
      <c r="D12" s="84"/>
      <c r="E12" s="84"/>
      <c r="F12" s="84"/>
      <c r="G12" s="84"/>
      <c r="H12" s="84"/>
      <c r="I12" s="84"/>
      <c r="J12" s="84"/>
      <c r="K12" s="85">
        <v>0.2</v>
      </c>
    </row>
    <row r="13" spans="1:15" ht="15.75" thickBot="1" x14ac:dyDescent="0.3">
      <c r="A13" s="83" t="s">
        <v>127</v>
      </c>
      <c r="B13" s="87"/>
      <c r="C13" s="87"/>
      <c r="D13" s="87"/>
      <c r="E13" s="87"/>
      <c r="F13" s="87"/>
      <c r="G13" s="87"/>
      <c r="H13" s="87"/>
      <c r="I13" s="87"/>
      <c r="J13" s="87"/>
      <c r="K13" s="88">
        <f>L53</f>
        <v>0.12555139549439143</v>
      </c>
    </row>
    <row r="14" spans="1:15" ht="15.75" thickBot="1" x14ac:dyDescent="0.3"/>
    <row r="15" spans="1:15" x14ac:dyDescent="0.25">
      <c r="A15" s="89" t="s">
        <v>85</v>
      </c>
      <c r="B15" s="40"/>
      <c r="C15" s="40"/>
      <c r="D15" s="40"/>
      <c r="E15" s="40"/>
      <c r="F15" s="40"/>
      <c r="G15" s="40"/>
      <c r="H15" s="40"/>
      <c r="I15" s="40"/>
      <c r="J15" s="40"/>
    </row>
    <row r="16" spans="1:15" x14ac:dyDescent="0.25">
      <c r="A16" s="83" t="s">
        <v>131</v>
      </c>
      <c r="B16" s="30"/>
      <c r="C16" s="30"/>
      <c r="D16" s="30"/>
      <c r="E16" s="30"/>
      <c r="F16" s="30"/>
      <c r="G16" s="30"/>
      <c r="H16" s="30"/>
      <c r="I16" s="30"/>
      <c r="J16" s="30"/>
      <c r="K16" s="85">
        <v>0.02</v>
      </c>
      <c r="L16" t="s">
        <v>87</v>
      </c>
    </row>
    <row r="17" spans="1:22" x14ac:dyDescent="0.25">
      <c r="A17" s="83" t="s">
        <v>130</v>
      </c>
      <c r="B17" s="30"/>
      <c r="C17" s="30"/>
      <c r="D17" s="30"/>
      <c r="E17" s="30"/>
      <c r="F17" s="30"/>
      <c r="G17" s="30"/>
      <c r="H17" s="30"/>
      <c r="I17" s="30"/>
      <c r="J17" s="30"/>
      <c r="K17" s="85">
        <v>0.37</v>
      </c>
      <c r="L17" t="s">
        <v>88</v>
      </c>
    </row>
    <row r="18" spans="1:22" x14ac:dyDescent="0.25">
      <c r="A18" s="83" t="s">
        <v>129</v>
      </c>
      <c r="B18" s="30"/>
      <c r="C18" s="30"/>
      <c r="D18" s="30"/>
      <c r="E18" s="30"/>
      <c r="F18" s="30"/>
      <c r="G18" s="30"/>
      <c r="H18" s="30"/>
      <c r="I18" s="30"/>
      <c r="J18" s="30"/>
      <c r="K18" s="86">
        <f>L61</f>
        <v>0.09</v>
      </c>
    </row>
    <row r="19" spans="1:22" x14ac:dyDescent="0.25">
      <c r="A19" s="83" t="s">
        <v>128</v>
      </c>
      <c r="B19" s="30"/>
      <c r="C19" s="30"/>
      <c r="D19" s="30"/>
      <c r="E19" s="30"/>
      <c r="F19" s="30"/>
      <c r="G19" s="30"/>
      <c r="H19" s="30"/>
      <c r="I19" s="30"/>
      <c r="J19" s="30"/>
      <c r="K19" s="85">
        <v>0.1</v>
      </c>
    </row>
    <row r="20" spans="1:22" ht="15.75" thickBot="1" x14ac:dyDescent="0.3">
      <c r="A20" s="83" t="s">
        <v>127</v>
      </c>
      <c r="B20" s="44"/>
      <c r="C20" s="44"/>
      <c r="D20" s="44"/>
      <c r="E20" s="44"/>
      <c r="F20" s="44"/>
      <c r="G20" s="44"/>
      <c r="H20" s="44"/>
      <c r="I20" s="44"/>
      <c r="J20" s="44"/>
      <c r="K20" s="88">
        <f>L66</f>
        <v>0.22319688109161792</v>
      </c>
    </row>
    <row r="21" spans="1:22" ht="15.75" thickBot="1" x14ac:dyDescent="0.3"/>
    <row r="22" spans="1:22" x14ac:dyDescent="0.25">
      <c r="A22" s="89" t="s">
        <v>86</v>
      </c>
      <c r="B22" s="40"/>
      <c r="C22" s="40"/>
      <c r="D22" s="40"/>
      <c r="E22" s="40"/>
      <c r="F22" s="40"/>
      <c r="G22" s="40"/>
      <c r="H22" s="40"/>
      <c r="I22" s="40"/>
      <c r="J22" s="40"/>
    </row>
    <row r="23" spans="1:22" x14ac:dyDescent="0.25">
      <c r="A23" s="83" t="s">
        <v>133</v>
      </c>
      <c r="B23" s="30"/>
      <c r="C23" s="30"/>
      <c r="D23" s="30"/>
      <c r="E23" s="30"/>
      <c r="F23" s="30"/>
      <c r="G23" s="30"/>
      <c r="H23" s="30"/>
      <c r="I23" s="30"/>
      <c r="J23" s="30"/>
      <c r="K23" s="85">
        <v>0.02</v>
      </c>
      <c r="L23" t="s">
        <v>87</v>
      </c>
    </row>
    <row r="24" spans="1:22" x14ac:dyDescent="0.25">
      <c r="A24" s="83" t="s">
        <v>130</v>
      </c>
      <c r="B24" s="30"/>
      <c r="C24" s="30"/>
      <c r="D24" s="30"/>
      <c r="E24" s="30"/>
      <c r="F24" s="30"/>
      <c r="G24" s="30"/>
      <c r="H24" s="30"/>
      <c r="I24" s="30"/>
      <c r="J24" s="30"/>
      <c r="K24" s="85">
        <v>0.17</v>
      </c>
      <c r="L24" t="s">
        <v>88</v>
      </c>
    </row>
    <row r="25" spans="1:22" x14ac:dyDescent="0.25">
      <c r="A25" s="83" t="s">
        <v>129</v>
      </c>
      <c r="B25" s="30"/>
      <c r="C25" s="30"/>
      <c r="D25" s="30"/>
      <c r="E25" s="30"/>
      <c r="F25" s="30"/>
      <c r="G25" s="30"/>
      <c r="H25" s="30"/>
      <c r="I25" s="30"/>
      <c r="J25" s="30"/>
      <c r="K25" s="86">
        <f>L74</f>
        <v>3.5000000000000003E-2</v>
      </c>
    </row>
    <row r="26" spans="1:22" x14ac:dyDescent="0.25">
      <c r="A26" s="83" t="s">
        <v>128</v>
      </c>
      <c r="B26" s="30"/>
      <c r="C26" s="30"/>
      <c r="D26" s="30"/>
      <c r="E26" s="30"/>
      <c r="F26" s="30"/>
      <c r="G26" s="30"/>
      <c r="H26" s="30"/>
      <c r="I26" s="30"/>
      <c r="J26" s="30"/>
      <c r="K26" s="85">
        <v>0.3</v>
      </c>
    </row>
    <row r="27" spans="1:22" ht="15.75" thickBot="1" x14ac:dyDescent="0.3">
      <c r="A27" s="83" t="s">
        <v>127</v>
      </c>
      <c r="B27" s="44"/>
      <c r="C27" s="44"/>
      <c r="D27" s="44"/>
      <c r="E27" s="44"/>
      <c r="F27" s="44"/>
      <c r="G27" s="44"/>
      <c r="H27" s="44"/>
      <c r="I27" s="44"/>
      <c r="J27" s="44"/>
      <c r="K27" s="88">
        <f>L79</f>
        <v>0.8666666666666667</v>
      </c>
    </row>
    <row r="28" spans="1:22" x14ac:dyDescent="0.25">
      <c r="K28" s="1"/>
    </row>
    <row r="29" spans="1:22" x14ac:dyDescent="0.25">
      <c r="A29" s="127" t="s">
        <v>134</v>
      </c>
      <c r="B29" s="94">
        <v>2010</v>
      </c>
      <c r="C29" s="94">
        <v>2011</v>
      </c>
      <c r="D29" s="94">
        <v>2012</v>
      </c>
      <c r="E29" s="94">
        <v>2013</v>
      </c>
      <c r="F29" s="94">
        <v>2014</v>
      </c>
      <c r="G29" s="94">
        <v>2015</v>
      </c>
      <c r="H29" s="94">
        <v>2016</v>
      </c>
      <c r="I29" s="94">
        <v>2017</v>
      </c>
      <c r="J29" s="94">
        <v>2018</v>
      </c>
      <c r="K29" s="129">
        <v>2020</v>
      </c>
      <c r="L29" s="130">
        <v>2021</v>
      </c>
      <c r="M29" s="130">
        <v>2022</v>
      </c>
      <c r="N29" s="130">
        <v>2023</v>
      </c>
      <c r="O29" s="129">
        <v>2024</v>
      </c>
      <c r="P29" s="130">
        <v>2025</v>
      </c>
      <c r="Q29" s="130">
        <v>2026</v>
      </c>
      <c r="R29" s="130">
        <v>2027</v>
      </c>
      <c r="S29" s="129">
        <v>2028</v>
      </c>
      <c r="T29" s="130">
        <v>2029</v>
      </c>
      <c r="U29" s="130">
        <v>2030</v>
      </c>
      <c r="V29" s="130">
        <v>2031</v>
      </c>
    </row>
    <row r="30" spans="1:22" x14ac:dyDescent="0.25">
      <c r="A30" s="128"/>
      <c r="B30" s="99"/>
      <c r="C30" s="99"/>
      <c r="D30" s="99"/>
      <c r="E30" s="99"/>
      <c r="F30" s="99"/>
      <c r="G30" s="99"/>
      <c r="H30" s="99"/>
      <c r="I30" s="99"/>
      <c r="J30" s="99"/>
      <c r="K30" s="100"/>
      <c r="L30" s="101"/>
      <c r="M30" s="102"/>
      <c r="N30" s="102"/>
      <c r="O30" s="102"/>
      <c r="P30" s="102"/>
      <c r="Q30" s="102"/>
      <c r="R30" s="102"/>
      <c r="S30" s="102"/>
      <c r="T30" s="102"/>
      <c r="U30" s="102"/>
      <c r="V30" s="103"/>
    </row>
    <row r="31" spans="1:22" x14ac:dyDescent="0.25">
      <c r="A31" s="128" t="s">
        <v>0</v>
      </c>
      <c r="B31" s="99"/>
      <c r="C31" s="99"/>
      <c r="D31" s="99"/>
      <c r="E31" s="99"/>
      <c r="F31" s="99"/>
      <c r="G31" s="99">
        <f>G35-G33</f>
        <v>69510000</v>
      </c>
      <c r="H31" s="99">
        <f>H35-H33</f>
        <v>69370000</v>
      </c>
      <c r="I31" s="99">
        <f>I35-I33</f>
        <v>69090000</v>
      </c>
      <c r="J31" s="99">
        <f>J35-J33</f>
        <v>77164200</v>
      </c>
      <c r="K31" s="100">
        <f t="shared" ref="K31:V31" si="0">K43+K56+K69</f>
        <v>49425000</v>
      </c>
      <c r="L31" s="101">
        <f t="shared" si="0"/>
        <v>50975070</v>
      </c>
      <c r="M31" s="102">
        <f t="shared" si="0"/>
        <v>49709431.61999999</v>
      </c>
      <c r="N31" s="102">
        <f t="shared" si="0"/>
        <v>49255943.453999996</v>
      </c>
      <c r="O31" s="102">
        <f t="shared" si="0"/>
        <v>48553885.582645498</v>
      </c>
      <c r="P31" s="102">
        <f t="shared" si="0"/>
        <v>47805743.593083575</v>
      </c>
      <c r="Q31" s="102">
        <f t="shared" si="0"/>
        <v>46705557.310084499</v>
      </c>
      <c r="R31" s="102">
        <f t="shared" si="0"/>
        <v>45668906.553188652</v>
      </c>
      <c r="S31" s="102">
        <f t="shared" si="0"/>
        <v>44748118.945905261</v>
      </c>
      <c r="T31" s="102">
        <f t="shared" si="0"/>
        <v>44583018.448882677</v>
      </c>
      <c r="U31" s="102">
        <f t="shared" si="0"/>
        <v>45087357.856190041</v>
      </c>
      <c r="V31" s="103">
        <f t="shared" si="0"/>
        <v>45611536.445576608</v>
      </c>
    </row>
    <row r="32" spans="1:22" x14ac:dyDescent="0.25">
      <c r="A32" s="128" t="s">
        <v>4</v>
      </c>
      <c r="B32" s="99"/>
      <c r="C32" s="99"/>
      <c r="D32" s="99"/>
      <c r="E32" s="99"/>
      <c r="F32" s="99"/>
      <c r="G32" s="99">
        <f>G31/G35</f>
        <v>0.99299999999999999</v>
      </c>
      <c r="H32" s="99"/>
      <c r="I32" s="99"/>
      <c r="J32" s="99"/>
      <c r="K32" s="100">
        <f>K31/K35</f>
        <v>0.95664376270202267</v>
      </c>
      <c r="L32" s="101">
        <f t="shared" ref="L32:V32" si="1">L31/L35</f>
        <v>0.92375761793183686</v>
      </c>
      <c r="M32" s="102">
        <f t="shared" si="1"/>
        <v>0.87692328503240746</v>
      </c>
      <c r="N32" s="102">
        <f t="shared" si="1"/>
        <v>0.84582579372826061</v>
      </c>
      <c r="O32" s="102">
        <f t="shared" si="1"/>
        <v>0.8115637122935011</v>
      </c>
      <c r="P32" s="102">
        <f t="shared" si="1"/>
        <v>0.77773548956106719</v>
      </c>
      <c r="Q32" s="102">
        <f t="shared" si="1"/>
        <v>0.73952092755852805</v>
      </c>
      <c r="R32" s="102">
        <f t="shared" si="1"/>
        <v>0.70373549204916186</v>
      </c>
      <c r="S32" s="102">
        <f t="shared" si="1"/>
        <v>0.67103847156724183</v>
      </c>
      <c r="T32" s="102">
        <f t="shared" si="1"/>
        <v>0.6505830841698711</v>
      </c>
      <c r="U32" s="102">
        <f t="shared" si="1"/>
        <v>0.6402146716781999</v>
      </c>
      <c r="V32" s="103">
        <f t="shared" si="1"/>
        <v>0.63017324647377337</v>
      </c>
    </row>
    <row r="33" spans="1:26" x14ac:dyDescent="0.25">
      <c r="A33" s="128" t="s">
        <v>1</v>
      </c>
      <c r="G33">
        <f>G34*G35</f>
        <v>490000</v>
      </c>
      <c r="H33">
        <f>H34*H35</f>
        <v>630000</v>
      </c>
      <c r="I33">
        <f>I34*I35</f>
        <v>910000</v>
      </c>
      <c r="J33">
        <f>J34*J35</f>
        <v>1735800</v>
      </c>
      <c r="K33" s="92">
        <v>2240000</v>
      </c>
      <c r="L33" s="93">
        <f t="shared" ref="L33:V33" si="2">L45+L58+L71</f>
        <v>4207230</v>
      </c>
      <c r="M33" s="90">
        <f t="shared" si="2"/>
        <v>6976748.879999999</v>
      </c>
      <c r="N33" s="90">
        <f t="shared" si="2"/>
        <v>8978203.363499999</v>
      </c>
      <c r="O33" s="90">
        <f t="shared" si="2"/>
        <v>11273685.373466996</v>
      </c>
      <c r="P33" s="90">
        <f t="shared" si="2"/>
        <v>13662125.926492851</v>
      </c>
      <c r="Q33" s="90">
        <f t="shared" si="2"/>
        <v>16450947.8942771</v>
      </c>
      <c r="R33" s="90">
        <f t="shared" si="2"/>
        <v>19226081.789957609</v>
      </c>
      <c r="S33" s="90">
        <f t="shared" si="2"/>
        <v>21936759.555015758</v>
      </c>
      <c r="T33" s="90">
        <f t="shared" si="2"/>
        <v>23944767.676650517</v>
      </c>
      <c r="U33" s="90">
        <f t="shared" si="2"/>
        <v>25338016.398358338</v>
      </c>
      <c r="V33" s="91">
        <f t="shared" si="2"/>
        <v>26767823.834794927</v>
      </c>
    </row>
    <row r="34" spans="1:26" x14ac:dyDescent="0.25">
      <c r="A34" s="128" t="s">
        <v>3</v>
      </c>
      <c r="B34" s="99">
        <v>0</v>
      </c>
      <c r="C34" s="99">
        <v>1E-3</v>
      </c>
      <c r="D34" s="99">
        <v>2E-3</v>
      </c>
      <c r="E34" s="99">
        <v>3.0000000000000001E-3</v>
      </c>
      <c r="F34" s="99">
        <v>4.0000000000000001E-3</v>
      </c>
      <c r="G34" s="99">
        <v>7.0000000000000001E-3</v>
      </c>
      <c r="H34" s="99">
        <v>8.9999999999999993E-3</v>
      </c>
      <c r="I34" s="99">
        <v>1.2999999999999999E-2</v>
      </c>
      <c r="J34" s="99">
        <v>2.1999999999999999E-2</v>
      </c>
      <c r="K34" s="104">
        <f>K33/K35</f>
        <v>4.3356237297977357E-2</v>
      </c>
      <c r="L34" s="105">
        <f t="shared" ref="L34:V34" si="3">L33/L35</f>
        <v>7.6242382068163167E-2</v>
      </c>
      <c r="M34" s="97">
        <f t="shared" si="3"/>
        <v>0.1230767149675925</v>
      </c>
      <c r="N34" s="97">
        <f t="shared" si="3"/>
        <v>0.15417420627173936</v>
      </c>
      <c r="O34" s="97">
        <f t="shared" si="3"/>
        <v>0.18843628770649901</v>
      </c>
      <c r="P34" s="97">
        <f t="shared" si="3"/>
        <v>0.22226451043893275</v>
      </c>
      <c r="Q34" s="97">
        <f t="shared" si="3"/>
        <v>0.26047907244147184</v>
      </c>
      <c r="R34" s="97">
        <f t="shared" si="3"/>
        <v>0.29626450795083825</v>
      </c>
      <c r="S34" s="97">
        <f t="shared" si="3"/>
        <v>0.32896152843275828</v>
      </c>
      <c r="T34" s="97">
        <f t="shared" si="3"/>
        <v>0.34941691583012913</v>
      </c>
      <c r="U34" s="97">
        <f t="shared" si="3"/>
        <v>0.35978532832180016</v>
      </c>
      <c r="V34" s="106">
        <f t="shared" si="3"/>
        <v>0.36982675352622674</v>
      </c>
    </row>
    <row r="35" spans="1:26" x14ac:dyDescent="0.25">
      <c r="A35" s="128" t="s">
        <v>2</v>
      </c>
      <c r="B35" s="107"/>
      <c r="C35" s="107"/>
      <c r="D35" s="107"/>
      <c r="E35" s="107"/>
      <c r="F35" s="107"/>
      <c r="G35" s="107">
        <v>70000000</v>
      </c>
      <c r="H35" s="107">
        <v>70000000</v>
      </c>
      <c r="I35" s="107">
        <v>70000000</v>
      </c>
      <c r="J35" s="107">
        <v>78900000</v>
      </c>
      <c r="K35" s="131">
        <f>K31+K33</f>
        <v>51665000</v>
      </c>
      <c r="L35" s="132">
        <f>L31+L33</f>
        <v>55182300</v>
      </c>
      <c r="M35" s="133">
        <f>M50+M63+M76</f>
        <v>56686180.499999993</v>
      </c>
      <c r="N35" s="133">
        <f t="shared" ref="N35:V35" si="4">N50+N63+N76</f>
        <v>58234146.817499995</v>
      </c>
      <c r="O35" s="133">
        <f t="shared" si="4"/>
        <v>59827570.956112489</v>
      </c>
      <c r="P35" s="133">
        <f t="shared" si="4"/>
        <v>61467869.51957643</v>
      </c>
      <c r="Q35" s="133">
        <f t="shared" si="4"/>
        <v>63156505.204361603</v>
      </c>
      <c r="R35" s="133">
        <f t="shared" si="4"/>
        <v>64894988.343146257</v>
      </c>
      <c r="S35" s="133">
        <f t="shared" si="4"/>
        <v>66684878.500921011</v>
      </c>
      <c r="T35" s="133">
        <f t="shared" si="4"/>
        <v>68527786.125533178</v>
      </c>
      <c r="U35" s="133">
        <f t="shared" si="4"/>
        <v>70425374.254548371</v>
      </c>
      <c r="V35" s="134">
        <f t="shared" si="4"/>
        <v>72379360.280371532</v>
      </c>
    </row>
    <row r="36" spans="1:26" x14ac:dyDescent="0.25">
      <c r="A36" s="128" t="s">
        <v>96</v>
      </c>
      <c r="B36" s="107"/>
      <c r="C36" s="107"/>
      <c r="D36" s="107"/>
      <c r="E36" s="107"/>
      <c r="F36" s="107"/>
      <c r="G36" s="107"/>
      <c r="H36" s="107"/>
      <c r="I36" s="107"/>
      <c r="J36" s="107"/>
      <c r="K36" s="112">
        <f>K33-K37</f>
        <v>1743586</v>
      </c>
      <c r="L36" s="113">
        <f t="shared" ref="L36:V36" si="5">L33-L37</f>
        <v>3198630</v>
      </c>
      <c r="M36" s="114">
        <f t="shared" si="5"/>
        <v>5526295.5023999987</v>
      </c>
      <c r="N36" s="114">
        <f t="shared" si="5"/>
        <v>7161286.9089599987</v>
      </c>
      <c r="O36" s="114">
        <f t="shared" si="5"/>
        <v>8951621.0531689767</v>
      </c>
      <c r="P36" s="114">
        <f t="shared" si="5"/>
        <v>10865256.79865206</v>
      </c>
      <c r="Q36" s="114">
        <f t="shared" si="5"/>
        <v>12990575.865821086</v>
      </c>
      <c r="R36" s="114">
        <f t="shared" si="5"/>
        <v>15229781.262760434</v>
      </c>
      <c r="S36" s="114">
        <f t="shared" si="5"/>
        <v>17507947.206186634</v>
      </c>
      <c r="T36" s="114">
        <f t="shared" si="5"/>
        <v>19256937.1267059</v>
      </c>
      <c r="U36" s="114">
        <f t="shared" si="5"/>
        <v>20475557.744711518</v>
      </c>
      <c r="V36" s="115">
        <f t="shared" si="5"/>
        <v>21699823.954485752</v>
      </c>
    </row>
    <row r="37" spans="1:26" x14ac:dyDescent="0.25">
      <c r="A37" s="128" t="s">
        <v>13</v>
      </c>
      <c r="B37" s="107"/>
      <c r="C37" s="107"/>
      <c r="D37" s="107"/>
      <c r="E37" s="107"/>
      <c r="F37" s="107"/>
      <c r="G37" s="107"/>
      <c r="H37" s="107"/>
      <c r="I37" s="107"/>
      <c r="J37" s="107"/>
      <c r="K37" s="116">
        <f>K51+K64+K77</f>
        <v>496414</v>
      </c>
      <c r="L37" s="117">
        <f>L51+L64+L77</f>
        <v>1008600</v>
      </c>
      <c r="M37" s="118">
        <f>M51+M64+M77</f>
        <v>1450453.3776</v>
      </c>
      <c r="N37" s="118">
        <f t="shared" ref="N37:V37" si="6">N51+N64+N77</f>
        <v>1816916.4545400001</v>
      </c>
      <c r="O37" s="118">
        <f t="shared" si="6"/>
        <v>2322064.3202980203</v>
      </c>
      <c r="P37" s="118">
        <f t="shared" si="6"/>
        <v>2796869.1278407909</v>
      </c>
      <c r="Q37" s="118">
        <f t="shared" si="6"/>
        <v>3460372.0284560132</v>
      </c>
      <c r="R37" s="118">
        <f t="shared" si="6"/>
        <v>3996300.5271971757</v>
      </c>
      <c r="S37" s="118">
        <f t="shared" si="6"/>
        <v>4428812.3488291241</v>
      </c>
      <c r="T37" s="118">
        <f t="shared" si="6"/>
        <v>4687830.549944615</v>
      </c>
      <c r="U37" s="118">
        <f t="shared" si="6"/>
        <v>4862458.6536468212</v>
      </c>
      <c r="V37" s="119">
        <f t="shared" si="6"/>
        <v>5067999.8803091757</v>
      </c>
    </row>
    <row r="38" spans="1:26" x14ac:dyDescent="0.25">
      <c r="A38" s="128" t="s">
        <v>19</v>
      </c>
      <c r="B38" s="107"/>
      <c r="C38" s="107"/>
      <c r="D38" s="107"/>
      <c r="E38" s="107"/>
      <c r="F38" s="107"/>
      <c r="G38" s="107"/>
      <c r="H38" s="107"/>
      <c r="I38" s="107"/>
      <c r="J38" s="107"/>
      <c r="K38" s="120">
        <f t="shared" ref="K38:U38" si="7">K37/K35</f>
        <v>9.6083228491241658E-3</v>
      </c>
      <c r="L38" s="121">
        <f>L37/L35</f>
        <v>1.8277599882571043E-2</v>
      </c>
      <c r="M38" s="122">
        <f t="shared" si="7"/>
        <v>2.5587424744554808E-2</v>
      </c>
      <c r="N38" s="122">
        <f t="shared" si="7"/>
        <v>3.1200190160491831E-2</v>
      </c>
      <c r="O38" s="122">
        <f t="shared" si="7"/>
        <v>3.8812612365650097E-2</v>
      </c>
      <c r="P38" s="122">
        <f t="shared" si="7"/>
        <v>4.5501318814214597E-2</v>
      </c>
      <c r="Q38" s="122">
        <f t="shared" si="7"/>
        <v>5.4790429224336482E-2</v>
      </c>
      <c r="R38" s="122">
        <f t="shared" si="7"/>
        <v>6.1581034671982282E-2</v>
      </c>
      <c r="S38" s="122">
        <f t="shared" si="7"/>
        <v>6.6414042409449037E-2</v>
      </c>
      <c r="T38" s="122">
        <f t="shared" si="7"/>
        <v>6.8407733781989902E-2</v>
      </c>
      <c r="U38" s="122">
        <f t="shared" si="7"/>
        <v>6.9044129408127111E-2</v>
      </c>
      <c r="V38" s="123">
        <f>V37/V35</f>
        <v>7.001995956689272E-2</v>
      </c>
    </row>
    <row r="39" spans="1:26" x14ac:dyDescent="0.25">
      <c r="A39" s="128" t="s">
        <v>20</v>
      </c>
      <c r="B39" s="107"/>
      <c r="C39" s="107"/>
      <c r="D39" s="107"/>
      <c r="E39" s="107"/>
      <c r="F39" s="107"/>
      <c r="G39" s="107"/>
      <c r="H39" s="107"/>
      <c r="I39" s="107"/>
      <c r="J39" s="107"/>
      <c r="K39" s="124">
        <f>K38/K34</f>
        <v>0.22161339285714285</v>
      </c>
      <c r="L39" s="109">
        <f>L38/L34</f>
        <v>0.23973017876369962</v>
      </c>
      <c r="M39" s="125">
        <f t="shared" ref="M39:U39" si="8">M38/M34</f>
        <v>0.20789817758210616</v>
      </c>
      <c r="N39" s="125">
        <f t="shared" si="8"/>
        <v>0.20236971485035579</v>
      </c>
      <c r="O39" s="125">
        <f t="shared" si="8"/>
        <v>0.2059720706560676</v>
      </c>
      <c r="P39" s="125">
        <f t="shared" si="8"/>
        <v>0.20471697764234881</v>
      </c>
      <c r="Q39" s="125">
        <f t="shared" si="8"/>
        <v>0.21034484156744523</v>
      </c>
      <c r="R39" s="125">
        <f t="shared" si="8"/>
        <v>0.20785829223323962</v>
      </c>
      <c r="S39" s="125">
        <f t="shared" si="8"/>
        <v>0.20188999827991883</v>
      </c>
      <c r="T39" s="125">
        <f t="shared" si="8"/>
        <v>0.19577682328135104</v>
      </c>
      <c r="U39" s="125">
        <f t="shared" si="8"/>
        <v>0.19190368248249545</v>
      </c>
      <c r="V39" s="126">
        <f>V38/V34</f>
        <v>0.18933178548946478</v>
      </c>
    </row>
    <row r="40" spans="1:26" x14ac:dyDescent="0.25">
      <c r="K40" s="28"/>
      <c r="L40" s="10"/>
      <c r="M40" s="25"/>
      <c r="N40" s="25"/>
      <c r="O40" s="25"/>
      <c r="P40" s="25"/>
      <c r="Q40" s="25"/>
      <c r="R40" s="25"/>
      <c r="S40" s="25"/>
      <c r="T40" s="25"/>
      <c r="U40" s="25"/>
      <c r="V40" s="29"/>
    </row>
    <row r="41" spans="1:26" x14ac:dyDescent="0.25">
      <c r="K41" s="17"/>
      <c r="L41" s="30"/>
      <c r="M41" s="30"/>
      <c r="N41" s="30"/>
      <c r="O41" s="30"/>
      <c r="P41" s="30"/>
      <c r="Q41" s="30"/>
      <c r="R41" s="30"/>
      <c r="S41" s="30"/>
      <c r="T41" s="30"/>
      <c r="U41" s="30"/>
      <c r="V41" s="31"/>
    </row>
    <row r="42" spans="1:26" ht="15.75" thickBot="1" x14ac:dyDescent="0.3">
      <c r="A42" s="127" t="s">
        <v>5</v>
      </c>
      <c r="B42" s="94"/>
      <c r="C42" s="94"/>
      <c r="D42" s="94"/>
      <c r="E42" s="94"/>
      <c r="F42" s="94"/>
      <c r="G42" s="94"/>
      <c r="H42" s="94"/>
      <c r="I42" s="94"/>
      <c r="J42" s="94"/>
      <c r="K42" s="129">
        <v>2020</v>
      </c>
      <c r="L42" s="130">
        <v>2021</v>
      </c>
      <c r="M42" s="130">
        <v>2022</v>
      </c>
      <c r="N42" s="130">
        <v>2023</v>
      </c>
      <c r="O42" s="129">
        <v>2024</v>
      </c>
      <c r="P42" s="130">
        <v>2025</v>
      </c>
      <c r="Q42" s="130">
        <v>2026</v>
      </c>
      <c r="R42" s="130">
        <v>2027</v>
      </c>
      <c r="S42" s="129">
        <v>2028</v>
      </c>
      <c r="T42" s="130">
        <v>2029</v>
      </c>
      <c r="U42" s="130">
        <v>2030</v>
      </c>
      <c r="V42" s="130">
        <v>2031</v>
      </c>
      <c r="X42" t="s">
        <v>116</v>
      </c>
    </row>
    <row r="43" spans="1:26" x14ac:dyDescent="0.25">
      <c r="A43" s="128" t="s">
        <v>0</v>
      </c>
      <c r="B43" s="99"/>
      <c r="C43" s="99"/>
      <c r="D43" s="99"/>
      <c r="E43" s="99"/>
      <c r="F43" s="99"/>
      <c r="G43" s="99"/>
      <c r="H43" s="99"/>
      <c r="I43" s="99"/>
      <c r="J43" s="99"/>
      <c r="K43" s="100">
        <f>K50-K45</f>
        <v>24480000</v>
      </c>
      <c r="L43" s="101">
        <f t="shared" ref="L43:V43" si="9">L50*L44</f>
        <v>24014069.999999996</v>
      </c>
      <c r="M43" s="102">
        <f t="shared" si="9"/>
        <v>23197591.619999994</v>
      </c>
      <c r="N43" s="102">
        <f t="shared" si="9"/>
        <v>22866197.453999996</v>
      </c>
      <c r="O43" s="102">
        <f t="shared" si="9"/>
        <v>22483188.646645494</v>
      </c>
      <c r="P43" s="102">
        <f t="shared" si="9"/>
        <v>22045358.130895026</v>
      </c>
      <c r="Q43" s="102">
        <f t="shared" si="9"/>
        <v>21549337.572949883</v>
      </c>
      <c r="R43" s="102">
        <f t="shared" si="9"/>
        <v>20991590.012238242</v>
      </c>
      <c r="S43" s="102">
        <f t="shared" si="9"/>
        <v>20368402.183749918</v>
      </c>
      <c r="T43" s="102">
        <f t="shared" si="9"/>
        <v>20378586.384841796</v>
      </c>
      <c r="U43" s="102">
        <f t="shared" si="9"/>
        <v>20728184.547823131</v>
      </c>
      <c r="V43" s="103">
        <f t="shared" si="9"/>
        <v>21077290.813891731</v>
      </c>
      <c r="X43" s="38" t="s">
        <v>8</v>
      </c>
      <c r="Y43" s="46">
        <f>V53-Y47</f>
        <v>0.15000000000000002</v>
      </c>
      <c r="Z43" s="2"/>
    </row>
    <row r="44" spans="1:26" x14ac:dyDescent="0.25">
      <c r="A44" s="128" t="s">
        <v>4</v>
      </c>
      <c r="B44" s="99"/>
      <c r="C44" s="99"/>
      <c r="D44" s="99"/>
      <c r="E44" s="99"/>
      <c r="F44" s="99"/>
      <c r="G44" s="99"/>
      <c r="H44" s="99"/>
      <c r="I44" s="99"/>
      <c r="J44" s="99"/>
      <c r="K44" s="100">
        <f t="shared" ref="K44:U44" si="10">1-K47</f>
        <v>0.95</v>
      </c>
      <c r="L44" s="101">
        <f>1-L47</f>
        <v>0.9</v>
      </c>
      <c r="M44" s="102">
        <f t="shared" si="10"/>
        <v>0.84</v>
      </c>
      <c r="N44" s="102">
        <f t="shared" si="10"/>
        <v>0.8</v>
      </c>
      <c r="O44" s="102">
        <f t="shared" si="10"/>
        <v>0.76</v>
      </c>
      <c r="P44" s="102">
        <f t="shared" si="10"/>
        <v>0.72</v>
      </c>
      <c r="Q44" s="102">
        <f t="shared" si="10"/>
        <v>0.67999999999999994</v>
      </c>
      <c r="R44" s="102">
        <f t="shared" si="10"/>
        <v>0.64</v>
      </c>
      <c r="S44" s="102">
        <f t="shared" si="10"/>
        <v>0.6</v>
      </c>
      <c r="T44" s="102">
        <f t="shared" si="10"/>
        <v>0.58000000000000007</v>
      </c>
      <c r="U44" s="102">
        <f t="shared" si="10"/>
        <v>0.57000000000000006</v>
      </c>
      <c r="V44" s="103">
        <f>1-V47</f>
        <v>0.56000000000000005</v>
      </c>
      <c r="X44" s="17" t="s">
        <v>9</v>
      </c>
      <c r="Y44" s="47">
        <v>0.8</v>
      </c>
    </row>
    <row r="45" spans="1:26" x14ac:dyDescent="0.25">
      <c r="A45" s="128" t="s">
        <v>1</v>
      </c>
      <c r="B45" s="99"/>
      <c r="C45" s="99"/>
      <c r="D45" s="99"/>
      <c r="E45" s="99"/>
      <c r="F45" s="99"/>
      <c r="G45" s="99"/>
      <c r="H45" s="99"/>
      <c r="I45" s="99"/>
      <c r="J45" s="99"/>
      <c r="K45" s="100">
        <v>1300000</v>
      </c>
      <c r="L45" s="101">
        <f t="shared" ref="L45:V45" si="11">L50*L47</f>
        <v>2668230</v>
      </c>
      <c r="M45" s="102">
        <f t="shared" si="11"/>
        <v>4418588.879999999</v>
      </c>
      <c r="N45" s="102">
        <f t="shared" si="11"/>
        <v>5716549.363499999</v>
      </c>
      <c r="O45" s="102">
        <f t="shared" si="11"/>
        <v>7099954.3094669972</v>
      </c>
      <c r="P45" s="102">
        <f t="shared" si="11"/>
        <v>8573194.8286814</v>
      </c>
      <c r="Q45" s="102">
        <f t="shared" si="11"/>
        <v>10140864.74021171</v>
      </c>
      <c r="R45" s="102">
        <f t="shared" si="11"/>
        <v>11807769.381884011</v>
      </c>
      <c r="S45" s="102">
        <f t="shared" si="11"/>
        <v>13578934.789166613</v>
      </c>
      <c r="T45" s="102">
        <f t="shared" si="11"/>
        <v>14756907.382126816</v>
      </c>
      <c r="U45" s="102">
        <f t="shared" si="11"/>
        <v>15637051.500989379</v>
      </c>
      <c r="V45" s="103">
        <f t="shared" si="11"/>
        <v>16560728.496629218</v>
      </c>
      <c r="X45" s="17" t="s">
        <v>10</v>
      </c>
      <c r="Y45" s="47">
        <v>-1</v>
      </c>
    </row>
    <row r="46" spans="1:26" hidden="1" x14ac:dyDescent="0.25">
      <c r="A46" s="128"/>
      <c r="K46" s="92">
        <v>-6</v>
      </c>
      <c r="L46" s="93">
        <f>K46+1</f>
        <v>-5</v>
      </c>
      <c r="M46" s="90">
        <f t="shared" ref="M46:U46" si="12">L46+1</f>
        <v>-4</v>
      </c>
      <c r="N46" s="90">
        <f t="shared" si="12"/>
        <v>-3</v>
      </c>
      <c r="O46" s="90">
        <f t="shared" si="12"/>
        <v>-2</v>
      </c>
      <c r="P46" s="90">
        <f t="shared" si="12"/>
        <v>-1</v>
      </c>
      <c r="Q46" s="90">
        <f t="shared" si="12"/>
        <v>0</v>
      </c>
      <c r="R46" s="90">
        <f t="shared" si="12"/>
        <v>1</v>
      </c>
      <c r="S46" s="90">
        <f t="shared" si="12"/>
        <v>2</v>
      </c>
      <c r="T46" s="90">
        <f t="shared" si="12"/>
        <v>3</v>
      </c>
      <c r="U46" s="90">
        <f t="shared" si="12"/>
        <v>4</v>
      </c>
      <c r="V46" s="91">
        <v>6</v>
      </c>
      <c r="X46" s="17"/>
      <c r="Y46" s="47"/>
    </row>
    <row r="47" spans="1:26" ht="15.75" thickBot="1" x14ac:dyDescent="0.3">
      <c r="A47" s="128" t="s">
        <v>12</v>
      </c>
      <c r="B47" s="99"/>
      <c r="C47" s="99"/>
      <c r="D47" s="99"/>
      <c r="E47" s="99"/>
      <c r="F47" s="99"/>
      <c r="G47" s="99"/>
      <c r="H47" s="99"/>
      <c r="I47" s="99"/>
      <c r="J47" s="99"/>
      <c r="K47" s="104">
        <v>0.05</v>
      </c>
      <c r="L47" s="105">
        <v>0.1</v>
      </c>
      <c r="M47" s="97">
        <v>0.16</v>
      </c>
      <c r="N47" s="97">
        <v>0.2</v>
      </c>
      <c r="O47" s="97">
        <v>0.24</v>
      </c>
      <c r="P47" s="97">
        <v>0.28000000000000003</v>
      </c>
      <c r="Q47" s="97">
        <v>0.32</v>
      </c>
      <c r="R47" s="97">
        <v>0.36</v>
      </c>
      <c r="S47" s="97">
        <v>0.4</v>
      </c>
      <c r="T47" s="97">
        <v>0.42</v>
      </c>
      <c r="U47" s="97">
        <v>0.43</v>
      </c>
      <c r="V47" s="97">
        <v>0.44</v>
      </c>
      <c r="X47" s="39" t="s">
        <v>29</v>
      </c>
      <c r="Y47" s="48">
        <f>K48</f>
        <v>0.05</v>
      </c>
    </row>
    <row r="48" spans="1:26" x14ac:dyDescent="0.25">
      <c r="A48" s="128" t="s">
        <v>11</v>
      </c>
      <c r="B48" s="99"/>
      <c r="C48" s="99"/>
      <c r="D48" s="99"/>
      <c r="E48" s="99"/>
      <c r="F48" s="99"/>
      <c r="G48" s="99"/>
      <c r="H48" s="99"/>
      <c r="I48" s="99"/>
      <c r="J48" s="99"/>
      <c r="K48" s="104">
        <v>0.05</v>
      </c>
      <c r="L48" s="105">
        <v>7.0000000000000007E-2</v>
      </c>
      <c r="M48" s="97"/>
      <c r="N48" s="97"/>
      <c r="O48" s="97"/>
      <c r="P48" s="97"/>
      <c r="Q48" s="97"/>
      <c r="R48" s="97"/>
      <c r="S48" s="97"/>
      <c r="T48" s="97"/>
      <c r="U48" s="97"/>
      <c r="V48" s="97">
        <v>0.44</v>
      </c>
      <c r="X48" s="30"/>
      <c r="Y48" s="135"/>
    </row>
    <row r="49" spans="1:26" x14ac:dyDescent="0.25">
      <c r="A49" s="128" t="s">
        <v>96</v>
      </c>
      <c r="B49" s="107"/>
      <c r="C49" s="107"/>
      <c r="D49" s="107"/>
      <c r="E49" s="107"/>
      <c r="F49" s="107"/>
      <c r="G49" s="107"/>
      <c r="H49" s="107"/>
      <c r="I49" s="107"/>
      <c r="J49" s="107"/>
      <c r="K49" s="112">
        <f t="shared" ref="K49:V49" si="13">K45-K51</f>
        <v>1114386</v>
      </c>
      <c r="L49" s="113">
        <f t="shared" si="13"/>
        <v>2333230</v>
      </c>
      <c r="M49" s="114">
        <f t="shared" si="13"/>
        <v>3830933.1023999988</v>
      </c>
      <c r="N49" s="114">
        <f t="shared" si="13"/>
        <v>4913710.7889599986</v>
      </c>
      <c r="O49" s="114">
        <f t="shared" si="13"/>
        <v>6049970.6308489777</v>
      </c>
      <c r="P49" s="114">
        <f t="shared" si="13"/>
        <v>7241513.297635138</v>
      </c>
      <c r="Q49" s="114">
        <f t="shared" si="13"/>
        <v>8490178.4063638151</v>
      </c>
      <c r="R49" s="114">
        <f t="shared" si="13"/>
        <v>9797844.2866293341</v>
      </c>
      <c r="S49" s="114">
        <f t="shared" si="13"/>
        <v>11166427.655051123</v>
      </c>
      <c r="T49" s="114">
        <f t="shared" si="13"/>
        <v>12025252.137985023</v>
      </c>
      <c r="U49" s="114">
        <f t="shared" si="13"/>
        <v>12626056.867074601</v>
      </c>
      <c r="V49" s="115">
        <f t="shared" si="13"/>
        <v>13248582.797303375</v>
      </c>
    </row>
    <row r="50" spans="1:26" x14ac:dyDescent="0.25">
      <c r="A50" s="128" t="s">
        <v>2</v>
      </c>
      <c r="B50" s="107"/>
      <c r="C50" s="107"/>
      <c r="D50" s="107"/>
      <c r="E50" s="107"/>
      <c r="F50" s="107"/>
      <c r="G50" s="107"/>
      <c r="H50" s="107"/>
      <c r="I50" s="107"/>
      <c r="J50" s="107"/>
      <c r="K50" s="116">
        <v>25780000</v>
      </c>
      <c r="L50" s="117">
        <f>K50*(1+$K$9)</f>
        <v>26682299.999999996</v>
      </c>
      <c r="M50" s="118">
        <f>L50*(1+$K$9)</f>
        <v>27616180.499999993</v>
      </c>
      <c r="N50" s="118">
        <f t="shared" ref="N50:V50" si="14">M50*(1+$K$9)</f>
        <v>28582746.817499992</v>
      </c>
      <c r="O50" s="118">
        <f t="shared" si="14"/>
        <v>29583142.956112489</v>
      </c>
      <c r="P50" s="118">
        <f t="shared" si="14"/>
        <v>30618552.959576424</v>
      </c>
      <c r="Q50" s="118">
        <f t="shared" si="14"/>
        <v>31690202.313161597</v>
      </c>
      <c r="R50" s="118">
        <f t="shared" si="14"/>
        <v>32799359.39412225</v>
      </c>
      <c r="S50" s="118">
        <f t="shared" si="14"/>
        <v>33947336.972916529</v>
      </c>
      <c r="T50" s="118">
        <f t="shared" si="14"/>
        <v>35135493.766968608</v>
      </c>
      <c r="U50" s="118">
        <f t="shared" si="14"/>
        <v>36365236.048812509</v>
      </c>
      <c r="V50" s="119">
        <f t="shared" si="14"/>
        <v>37638019.310520947</v>
      </c>
    </row>
    <row r="51" spans="1:26" x14ac:dyDescent="0.25">
      <c r="A51" s="128" t="s">
        <v>13</v>
      </c>
      <c r="B51" s="107"/>
      <c r="C51" s="107"/>
      <c r="D51" s="107"/>
      <c r="E51" s="107"/>
      <c r="F51" s="107"/>
      <c r="G51" s="107"/>
      <c r="H51" s="107"/>
      <c r="I51" s="107"/>
      <c r="J51" s="107"/>
      <c r="K51" s="120">
        <v>185614</v>
      </c>
      <c r="L51" s="121">
        <v>335000</v>
      </c>
      <c r="M51" s="122">
        <f>M50*M52</f>
        <v>587655.77760000003</v>
      </c>
      <c r="N51" s="122">
        <f t="shared" ref="N51" si="15">N50*N52</f>
        <v>802838.57453999994</v>
      </c>
      <c r="O51" s="122">
        <f t="shared" ref="O51" si="16">O50*O52</f>
        <v>1049983.6786180199</v>
      </c>
      <c r="P51" s="122">
        <f t="shared" ref="P51" si="17">P50*P52</f>
        <v>1331681.531046262</v>
      </c>
      <c r="Q51" s="122">
        <f t="shared" ref="Q51" si="18">Q50*Q52</f>
        <v>1650686.3338478962</v>
      </c>
      <c r="R51" s="122">
        <f t="shared" ref="R51" si="19">R50*R52</f>
        <v>2009925.0952546757</v>
      </c>
      <c r="S51" s="122">
        <f t="shared" ref="S51" si="20">S50*S52</f>
        <v>2412507.1341154887</v>
      </c>
      <c r="T51" s="122">
        <f t="shared" ref="T51" si="21">T50*T52</f>
        <v>2731655.2441417929</v>
      </c>
      <c r="U51" s="122">
        <f t="shared" ref="U51" si="22">U50*U52</f>
        <v>3010994.6339147775</v>
      </c>
      <c r="V51" s="123">
        <f t="shared" ref="V51" si="23">V50*V52</f>
        <v>3312145.6993258437</v>
      </c>
    </row>
    <row r="52" spans="1:26" x14ac:dyDescent="0.25">
      <c r="A52" s="128" t="s">
        <v>17</v>
      </c>
      <c r="B52" s="107"/>
      <c r="C52" s="107"/>
      <c r="D52" s="107"/>
      <c r="E52" s="107"/>
      <c r="F52" s="107"/>
      <c r="G52" s="107"/>
      <c r="H52" s="107"/>
      <c r="I52" s="107"/>
      <c r="J52" s="107"/>
      <c r="K52" s="124">
        <v>7.9000000000000008E-3</v>
      </c>
      <c r="L52" s="109">
        <f>L51/L50</f>
        <v>1.2555139549439143E-2</v>
      </c>
      <c r="M52" s="125">
        <f t="shared" ref="M52:V52" si="24">M53*M47</f>
        <v>2.1279400951192368E-2</v>
      </c>
      <c r="N52" s="125">
        <f t="shared" si="24"/>
        <v>2.8088223279102632E-2</v>
      </c>
      <c r="O52" s="125">
        <f t="shared" si="24"/>
        <v>3.5492634443057766E-2</v>
      </c>
      <c r="P52" s="125">
        <f t="shared" si="24"/>
        <v>4.3492634443057773E-2</v>
      </c>
      <c r="Q52" s="125">
        <f t="shared" si="24"/>
        <v>5.208822327910264E-2</v>
      </c>
      <c r="R52" s="125">
        <f t="shared" si="24"/>
        <v>6.127940095119238E-2</v>
      </c>
      <c r="S52" s="125">
        <f t="shared" si="24"/>
        <v>7.1066167459326993E-2</v>
      </c>
      <c r="T52" s="125">
        <f t="shared" si="24"/>
        <v>7.7746317221528902E-2</v>
      </c>
      <c r="U52" s="125">
        <f t="shared" si="24"/>
        <v>8.2798710006258852E-2</v>
      </c>
      <c r="V52" s="126">
        <f t="shared" si="24"/>
        <v>8.8000000000000009E-2</v>
      </c>
    </row>
    <row r="53" spans="1:26" x14ac:dyDescent="0.25">
      <c r="A53" s="128" t="s">
        <v>18</v>
      </c>
      <c r="K53" s="95">
        <f>K52/K47</f>
        <v>0.158</v>
      </c>
      <c r="L53" s="96">
        <f>L52/L47</f>
        <v>0.12555139549439143</v>
      </c>
      <c r="M53" s="97">
        <f>L53-(($L$53-$V$53)/10)</f>
        <v>0.13299625594495229</v>
      </c>
      <c r="N53" s="97">
        <f t="shared" ref="N53:U53" si="25">M53-(($L$53-$V$53)/10)</f>
        <v>0.14044111639551315</v>
      </c>
      <c r="O53" s="97">
        <f t="shared" si="25"/>
        <v>0.14788597684607402</v>
      </c>
      <c r="P53" s="97">
        <f t="shared" si="25"/>
        <v>0.15533083729663488</v>
      </c>
      <c r="Q53" s="97">
        <f t="shared" si="25"/>
        <v>0.16277569774719575</v>
      </c>
      <c r="R53" s="97">
        <f t="shared" si="25"/>
        <v>0.17022055819775661</v>
      </c>
      <c r="S53" s="97">
        <f t="shared" si="25"/>
        <v>0.17766541864831747</v>
      </c>
      <c r="T53" s="97">
        <f t="shared" si="25"/>
        <v>0.18511027909887834</v>
      </c>
      <c r="U53" s="97">
        <f t="shared" si="25"/>
        <v>0.1925551395494392</v>
      </c>
      <c r="V53" s="98">
        <f>K12</f>
        <v>0.2</v>
      </c>
    </row>
    <row r="54" spans="1:26" x14ac:dyDescent="0.25">
      <c r="K54" s="32"/>
      <c r="L54" s="30"/>
      <c r="M54" s="30"/>
      <c r="N54" s="30"/>
      <c r="O54" s="30"/>
      <c r="P54" s="30"/>
      <c r="Q54" s="30"/>
      <c r="R54" s="30"/>
      <c r="S54" s="30"/>
      <c r="T54" s="30"/>
      <c r="U54" s="30"/>
      <c r="V54" s="31"/>
    </row>
    <row r="55" spans="1:26" ht="15.75" thickBot="1" x14ac:dyDescent="0.3">
      <c r="A55" s="127" t="s">
        <v>6</v>
      </c>
      <c r="B55" s="94"/>
      <c r="C55" s="94"/>
      <c r="D55" s="94"/>
      <c r="E55" s="94"/>
      <c r="F55" s="94"/>
      <c r="G55" s="94"/>
      <c r="H55" s="94"/>
      <c r="I55" s="94"/>
      <c r="J55" s="94"/>
      <c r="K55" s="129">
        <v>2020</v>
      </c>
      <c r="L55" s="130">
        <v>2021</v>
      </c>
      <c r="M55" s="130">
        <v>2022</v>
      </c>
      <c r="N55" s="130">
        <v>2023</v>
      </c>
      <c r="O55" s="129">
        <v>2024</v>
      </c>
      <c r="P55" s="130">
        <v>2025</v>
      </c>
      <c r="Q55" s="130">
        <v>2026</v>
      </c>
      <c r="R55" s="130">
        <v>2027</v>
      </c>
      <c r="S55" s="129">
        <v>2028</v>
      </c>
      <c r="T55" s="130">
        <v>2029</v>
      </c>
      <c r="U55" s="130">
        <v>2030</v>
      </c>
      <c r="V55" s="130">
        <v>2031</v>
      </c>
      <c r="X55" t="s">
        <v>116</v>
      </c>
    </row>
    <row r="56" spans="1:26" x14ac:dyDescent="0.25">
      <c r="A56" s="128" t="s">
        <v>0</v>
      </c>
      <c r="B56" s="99"/>
      <c r="C56" s="99"/>
      <c r="D56" s="99"/>
      <c r="E56" s="99"/>
      <c r="F56" s="99"/>
      <c r="G56" s="99"/>
      <c r="H56" s="99"/>
      <c r="I56" s="99"/>
      <c r="J56" s="99"/>
      <c r="K56" s="100">
        <f>K63-K58</f>
        <v>10040000</v>
      </c>
      <c r="L56" s="101">
        <f>L63*L57</f>
        <v>10374000</v>
      </c>
      <c r="M56" s="102">
        <f t="shared" ref="M56" si="26">M63*M57</f>
        <v>9767520</v>
      </c>
      <c r="N56" s="102">
        <f t="shared" ref="N56" si="27">N63*N57</f>
        <v>9488448</v>
      </c>
      <c r="O56" s="102">
        <f t="shared" ref="O56" si="28">O63*O57</f>
        <v>9194306.1120000016</v>
      </c>
      <c r="P56" s="102">
        <f t="shared" ref="P56" si="29">P63*P57</f>
        <v>8884603.16928</v>
      </c>
      <c r="Q56" s="102">
        <f t="shared" ref="Q56" si="30">Q63*Q57</f>
        <v>8558834.3864063993</v>
      </c>
      <c r="R56" s="102">
        <f t="shared" ref="R56" si="31">R63*R57</f>
        <v>8216481.0109501444</v>
      </c>
      <c r="S56" s="102">
        <f t="shared" ref="S56" si="32">S63*S57</f>
        <v>7857009.9667210756</v>
      </c>
      <c r="T56" s="102">
        <f t="shared" ref="T56" si="33">T63*T57</f>
        <v>7479873.4883184647</v>
      </c>
      <c r="U56" s="102">
        <f t="shared" ref="U56" si="34">U63*U57</f>
        <v>7356989.8524389472</v>
      </c>
      <c r="V56" s="103">
        <f t="shared" ref="V56" si="35">V63*V57</f>
        <v>7226198.9217289221</v>
      </c>
      <c r="X56" s="38" t="s">
        <v>8</v>
      </c>
      <c r="Y56" s="46">
        <f>V61-Y60</f>
        <v>0.44999999999999996</v>
      </c>
      <c r="Z56" s="2"/>
    </row>
    <row r="57" spans="1:26" x14ac:dyDescent="0.25">
      <c r="A57" s="128" t="s">
        <v>4</v>
      </c>
      <c r="B57" s="99"/>
      <c r="C57" s="99"/>
      <c r="D57" s="99"/>
      <c r="E57" s="99"/>
      <c r="F57" s="99"/>
      <c r="G57" s="99"/>
      <c r="H57" s="99"/>
      <c r="I57" s="99"/>
      <c r="J57" s="99"/>
      <c r="K57" s="100">
        <f>1-K60</f>
        <v>0.97</v>
      </c>
      <c r="L57" s="101">
        <f t="shared" ref="L57:V57" si="36">1-L60</f>
        <v>0.91</v>
      </c>
      <c r="M57" s="102">
        <f t="shared" si="36"/>
        <v>0.84</v>
      </c>
      <c r="N57" s="102">
        <f t="shared" si="36"/>
        <v>0.8</v>
      </c>
      <c r="O57" s="102">
        <f t="shared" si="36"/>
        <v>0.76</v>
      </c>
      <c r="P57" s="102">
        <f t="shared" si="36"/>
        <v>0.72</v>
      </c>
      <c r="Q57" s="102">
        <f t="shared" si="36"/>
        <v>0.67999999999999994</v>
      </c>
      <c r="R57" s="102">
        <f t="shared" si="36"/>
        <v>0.64</v>
      </c>
      <c r="S57" s="102">
        <f t="shared" si="36"/>
        <v>0.6</v>
      </c>
      <c r="T57" s="102">
        <f t="shared" si="36"/>
        <v>0.56000000000000005</v>
      </c>
      <c r="U57" s="102">
        <f t="shared" si="36"/>
        <v>0.54</v>
      </c>
      <c r="V57" s="103">
        <f t="shared" si="36"/>
        <v>0.52</v>
      </c>
      <c r="X57" s="17" t="s">
        <v>9</v>
      </c>
      <c r="Y57" s="47">
        <v>0.6</v>
      </c>
    </row>
    <row r="58" spans="1:26" x14ac:dyDescent="0.25">
      <c r="A58" s="128" t="s">
        <v>1</v>
      </c>
      <c r="B58" s="99"/>
      <c r="C58" s="99"/>
      <c r="D58" s="99"/>
      <c r="E58" s="99"/>
      <c r="F58" s="99"/>
      <c r="G58" s="99"/>
      <c r="H58" s="99"/>
      <c r="I58" s="99"/>
      <c r="J58" s="99"/>
      <c r="K58" s="100">
        <v>1360000</v>
      </c>
      <c r="L58" s="101">
        <f>L63*L60</f>
        <v>1026000</v>
      </c>
      <c r="M58" s="102">
        <f t="shared" ref="M58:V58" si="37">M63*M60</f>
        <v>1860480</v>
      </c>
      <c r="N58" s="102">
        <f t="shared" si="37"/>
        <v>2372112</v>
      </c>
      <c r="O58" s="102">
        <f t="shared" si="37"/>
        <v>2903465.088</v>
      </c>
      <c r="P58" s="102">
        <f t="shared" si="37"/>
        <v>3455123.4547200007</v>
      </c>
      <c r="Q58" s="102">
        <f t="shared" si="37"/>
        <v>4027686.7700736006</v>
      </c>
      <c r="R58" s="102">
        <f t="shared" si="37"/>
        <v>4621770.5686594564</v>
      </c>
      <c r="S58" s="102">
        <f t="shared" si="37"/>
        <v>5238006.6444807174</v>
      </c>
      <c r="T58" s="102">
        <f t="shared" si="37"/>
        <v>5877043.4551073648</v>
      </c>
      <c r="U58" s="102">
        <f t="shared" si="37"/>
        <v>6267065.4298553998</v>
      </c>
      <c r="V58" s="103">
        <f t="shared" si="37"/>
        <v>6670337.4662113115</v>
      </c>
      <c r="X58" s="17" t="s">
        <v>10</v>
      </c>
      <c r="Y58" s="47">
        <v>-1.5</v>
      </c>
    </row>
    <row r="59" spans="1:26" hidden="1" x14ac:dyDescent="0.25">
      <c r="A59" s="128"/>
      <c r="K59" s="92">
        <v>-6</v>
      </c>
      <c r="L59" s="93">
        <f>K59+1</f>
        <v>-5</v>
      </c>
      <c r="M59" s="90">
        <f t="shared" ref="M59:U59" si="38">L59+1</f>
        <v>-4</v>
      </c>
      <c r="N59" s="90">
        <f t="shared" si="38"/>
        <v>-3</v>
      </c>
      <c r="O59" s="90">
        <f t="shared" si="38"/>
        <v>-2</v>
      </c>
      <c r="P59" s="90">
        <f t="shared" si="38"/>
        <v>-1</v>
      </c>
      <c r="Q59" s="90">
        <f t="shared" si="38"/>
        <v>0</v>
      </c>
      <c r="R59" s="90">
        <f t="shared" si="38"/>
        <v>1</v>
      </c>
      <c r="S59" s="90">
        <f t="shared" si="38"/>
        <v>2</v>
      </c>
      <c r="T59" s="90">
        <f t="shared" si="38"/>
        <v>3</v>
      </c>
      <c r="U59" s="90">
        <f t="shared" si="38"/>
        <v>4</v>
      </c>
      <c r="V59" s="91">
        <v>6</v>
      </c>
      <c r="X59" s="17"/>
      <c r="Y59" s="47"/>
    </row>
    <row r="60" spans="1:26" ht="15.75" thickBot="1" x14ac:dyDescent="0.3">
      <c r="A60" s="128" t="s">
        <v>12</v>
      </c>
      <c r="B60" s="99"/>
      <c r="C60" s="99"/>
      <c r="D60" s="99"/>
      <c r="E60" s="99"/>
      <c r="F60" s="99"/>
      <c r="G60" s="99"/>
      <c r="H60" s="99"/>
      <c r="I60" s="99"/>
      <c r="J60" s="99"/>
      <c r="K60" s="104">
        <v>0.03</v>
      </c>
      <c r="L60" s="105">
        <v>0.09</v>
      </c>
      <c r="M60" s="97">
        <v>0.16</v>
      </c>
      <c r="N60" s="97">
        <v>0.2</v>
      </c>
      <c r="O60" s="97">
        <v>0.24</v>
      </c>
      <c r="P60" s="97">
        <v>0.28000000000000003</v>
      </c>
      <c r="Q60" s="97">
        <v>0.32</v>
      </c>
      <c r="R60" s="97">
        <v>0.36</v>
      </c>
      <c r="S60" s="97">
        <v>0.4</v>
      </c>
      <c r="T60" s="97">
        <v>0.44</v>
      </c>
      <c r="U60" s="97">
        <v>0.46</v>
      </c>
      <c r="V60" s="106">
        <v>0.48</v>
      </c>
      <c r="X60" s="39" t="s">
        <v>29</v>
      </c>
      <c r="Y60" s="49">
        <f>K61</f>
        <v>0.03</v>
      </c>
    </row>
    <row r="61" spans="1:26" x14ac:dyDescent="0.25">
      <c r="A61" s="128" t="s">
        <v>11</v>
      </c>
      <c r="B61" s="107"/>
      <c r="C61" s="107"/>
      <c r="D61" s="107"/>
      <c r="E61" s="107"/>
      <c r="F61" s="107"/>
      <c r="G61" s="107"/>
      <c r="H61" s="107"/>
      <c r="I61" s="107"/>
      <c r="J61" s="107"/>
      <c r="K61" s="108">
        <v>0.03</v>
      </c>
      <c r="L61" s="109">
        <v>0.09</v>
      </c>
      <c r="M61" s="110"/>
      <c r="N61" s="110">
        <v>0.2</v>
      </c>
      <c r="O61" s="110"/>
      <c r="P61" s="110"/>
      <c r="Q61" s="110"/>
      <c r="R61" s="110"/>
      <c r="S61" s="110"/>
      <c r="T61" s="110"/>
      <c r="U61" s="110"/>
      <c r="V61" s="111">
        <v>0.48</v>
      </c>
    </row>
    <row r="62" spans="1:26" x14ac:dyDescent="0.25">
      <c r="A62" s="128" t="s">
        <v>96</v>
      </c>
      <c r="B62" s="107"/>
      <c r="C62" s="107"/>
      <c r="D62" s="107"/>
      <c r="E62" s="107"/>
      <c r="F62" s="107"/>
      <c r="G62" s="107"/>
      <c r="H62" s="107"/>
      <c r="I62" s="107"/>
      <c r="J62" s="107"/>
      <c r="K62" s="112">
        <f>K58-K64</f>
        <v>1262000</v>
      </c>
      <c r="L62" s="113">
        <f t="shared" ref="L62:V62" si="39">L58-L64</f>
        <v>797000</v>
      </c>
      <c r="M62" s="114">
        <f t="shared" si="39"/>
        <v>1562803.2</v>
      </c>
      <c r="N62" s="114">
        <f t="shared" si="39"/>
        <v>2028155.76</v>
      </c>
      <c r="O62" s="114">
        <f t="shared" si="39"/>
        <v>2516336.4095999999</v>
      </c>
      <c r="P62" s="114">
        <f t="shared" si="39"/>
        <v>3035572.7495040009</v>
      </c>
      <c r="Q62" s="114">
        <f t="shared" si="39"/>
        <v>3549398.9661273607</v>
      </c>
      <c r="R62" s="114">
        <f t="shared" si="39"/>
        <v>4108240.5054750722</v>
      </c>
      <c r="S62" s="114">
        <f t="shared" si="39"/>
        <v>4688015.9468102418</v>
      </c>
      <c r="T62" s="114">
        <f t="shared" si="39"/>
        <v>5289339.1095966287</v>
      </c>
      <c r="U62" s="114">
        <f t="shared" si="39"/>
        <v>5640358.8868698599</v>
      </c>
      <c r="V62" s="115">
        <f t="shared" si="39"/>
        <v>5975510.6468142997</v>
      </c>
    </row>
    <row r="63" spans="1:26" x14ac:dyDescent="0.25">
      <c r="A63" s="128" t="s">
        <v>2</v>
      </c>
      <c r="B63" s="107"/>
      <c r="C63" s="107"/>
      <c r="D63" s="107"/>
      <c r="E63" s="107"/>
      <c r="F63" s="107"/>
      <c r="G63" s="107"/>
      <c r="H63" s="107"/>
      <c r="I63" s="107"/>
      <c r="J63" s="107"/>
      <c r="K63" s="116">
        <v>11400000</v>
      </c>
      <c r="L63" s="117">
        <f>K63</f>
        <v>11400000</v>
      </c>
      <c r="M63" s="118">
        <f>L63*(1+$K$16)</f>
        <v>11628000</v>
      </c>
      <c r="N63" s="118">
        <f t="shared" ref="N63:V63" si="40">M63*(1+$K$16)</f>
        <v>11860560</v>
      </c>
      <c r="O63" s="118">
        <f t="shared" si="40"/>
        <v>12097771.200000001</v>
      </c>
      <c r="P63" s="118">
        <f t="shared" si="40"/>
        <v>12339726.624000002</v>
      </c>
      <c r="Q63" s="118">
        <f t="shared" si="40"/>
        <v>12586521.156480001</v>
      </c>
      <c r="R63" s="118">
        <f t="shared" si="40"/>
        <v>12838251.579609601</v>
      </c>
      <c r="S63" s="118">
        <f t="shared" si="40"/>
        <v>13095016.611201793</v>
      </c>
      <c r="T63" s="118">
        <f t="shared" si="40"/>
        <v>13356916.943425829</v>
      </c>
      <c r="U63" s="118">
        <f t="shared" si="40"/>
        <v>13624055.282294346</v>
      </c>
      <c r="V63" s="119">
        <f t="shared" si="40"/>
        <v>13896536.387940234</v>
      </c>
    </row>
    <row r="64" spans="1:26" x14ac:dyDescent="0.25">
      <c r="A64" s="128" t="s">
        <v>13</v>
      </c>
      <c r="B64" s="107"/>
      <c r="C64" s="107"/>
      <c r="D64" s="107"/>
      <c r="E64" s="107"/>
      <c r="F64" s="107"/>
      <c r="G64" s="107"/>
      <c r="H64" s="107"/>
      <c r="I64" s="107"/>
      <c r="J64" s="107"/>
      <c r="K64" s="120">
        <v>98000</v>
      </c>
      <c r="L64" s="121">
        <v>229000</v>
      </c>
      <c r="M64" s="122">
        <f t="shared" ref="M64" si="41">M63*M65</f>
        <v>297676.79999999999</v>
      </c>
      <c r="N64" s="122">
        <f t="shared" ref="N64" si="42">N63*N65</f>
        <v>343956.24</v>
      </c>
      <c r="O64" s="122">
        <f t="shared" ref="O64" si="43">O63*O65</f>
        <v>387128.67840000003</v>
      </c>
      <c r="P64" s="122">
        <f t="shared" ref="P64" si="44">P63*P65</f>
        <v>419550.70521600009</v>
      </c>
      <c r="Q64" s="122">
        <f t="shared" ref="Q64" si="45">Q63*Q65</f>
        <v>478287.80394624005</v>
      </c>
      <c r="R64" s="122">
        <f t="shared" ref="R64" si="46">R63*R65</f>
        <v>513530.06318438402</v>
      </c>
      <c r="S64" s="122">
        <f t="shared" ref="S64" si="47">S63*S65</f>
        <v>549990.69767047535</v>
      </c>
      <c r="T64" s="122">
        <f t="shared" ref="T64" si="48">T63*T65</f>
        <v>587704.34551073646</v>
      </c>
      <c r="U64" s="122">
        <f t="shared" ref="U64" si="49">U63*U65</f>
        <v>626706.54298553988</v>
      </c>
      <c r="V64" s="123">
        <f t="shared" ref="V64" si="50">V63*V65</f>
        <v>694826.81939701177</v>
      </c>
    </row>
    <row r="65" spans="1:26" x14ac:dyDescent="0.25">
      <c r="A65" s="128" t="s">
        <v>21</v>
      </c>
      <c r="B65" s="107"/>
      <c r="C65" s="107"/>
      <c r="D65" s="107"/>
      <c r="E65" s="107"/>
      <c r="F65" s="107"/>
      <c r="G65" s="107"/>
      <c r="H65" s="107"/>
      <c r="I65" s="107"/>
      <c r="J65" s="107"/>
      <c r="K65" s="124">
        <v>9.7999999999999997E-3</v>
      </c>
      <c r="L65" s="109">
        <f>L64/L63</f>
        <v>2.0087719298245613E-2</v>
      </c>
      <c r="M65" s="125">
        <f>M66*M60</f>
        <v>2.5600000000000001E-2</v>
      </c>
      <c r="N65" s="125">
        <v>2.9000000000000001E-2</v>
      </c>
      <c r="O65" s="125">
        <v>3.2000000000000001E-2</v>
      </c>
      <c r="P65" s="125">
        <v>3.4000000000000002E-2</v>
      </c>
      <c r="Q65" s="125">
        <v>3.7999999999999999E-2</v>
      </c>
      <c r="R65" s="125">
        <v>0.04</v>
      </c>
      <c r="S65" s="125">
        <v>4.2000000000000003E-2</v>
      </c>
      <c r="T65" s="125">
        <v>4.3999999999999997E-2</v>
      </c>
      <c r="U65" s="125">
        <v>4.5999999999999999E-2</v>
      </c>
      <c r="V65" s="126">
        <v>0.05</v>
      </c>
    </row>
    <row r="66" spans="1:26" x14ac:dyDescent="0.25">
      <c r="A66" s="128" t="s">
        <v>22</v>
      </c>
      <c r="K66" s="95">
        <f>K65/K60</f>
        <v>0.32666666666666666</v>
      </c>
      <c r="L66" s="96">
        <f>L65/L60</f>
        <v>0.22319688109161792</v>
      </c>
      <c r="M66" s="97">
        <v>0.16</v>
      </c>
      <c r="N66" s="97">
        <v>7.4999999999999997E-2</v>
      </c>
      <c r="O66" s="97">
        <f>N66-(($N$66-$V$66)/8)</f>
        <v>7.8125E-2</v>
      </c>
      <c r="P66" s="97">
        <f t="shared" ref="P66:U66" si="51">O66-(($N$66-$V$66)/8)</f>
        <v>8.1250000000000003E-2</v>
      </c>
      <c r="Q66" s="97">
        <f t="shared" si="51"/>
        <v>8.4375000000000006E-2</v>
      </c>
      <c r="R66" s="97">
        <f t="shared" si="51"/>
        <v>8.7500000000000008E-2</v>
      </c>
      <c r="S66" s="97">
        <f t="shared" si="51"/>
        <v>9.0625000000000011E-2</v>
      </c>
      <c r="T66" s="97">
        <f t="shared" si="51"/>
        <v>9.3750000000000014E-2</v>
      </c>
      <c r="U66" s="97">
        <f t="shared" si="51"/>
        <v>9.6875000000000017E-2</v>
      </c>
      <c r="V66" s="98">
        <f>K19</f>
        <v>0.1</v>
      </c>
    </row>
    <row r="67" spans="1:26" x14ac:dyDescent="0.25">
      <c r="K67" s="32"/>
      <c r="L67" s="30"/>
      <c r="M67" s="30"/>
      <c r="N67" s="30"/>
      <c r="O67" s="30"/>
      <c r="P67" s="30"/>
      <c r="Q67" s="30"/>
      <c r="R67" s="30"/>
      <c r="S67" s="30"/>
      <c r="T67" s="30"/>
      <c r="U67" s="30"/>
      <c r="V67" s="31"/>
    </row>
    <row r="68" spans="1:26" ht="15.75" thickBot="1" x14ac:dyDescent="0.3">
      <c r="A68" s="127" t="s">
        <v>7</v>
      </c>
      <c r="B68" s="94"/>
      <c r="C68" s="94"/>
      <c r="D68" s="94"/>
      <c r="E68" s="94"/>
      <c r="F68" s="94"/>
      <c r="G68" s="94"/>
      <c r="H68" s="94"/>
      <c r="I68" s="94"/>
      <c r="J68" s="94"/>
      <c r="K68" s="129">
        <v>2020</v>
      </c>
      <c r="L68" s="130">
        <v>2021</v>
      </c>
      <c r="M68" s="130">
        <v>2022</v>
      </c>
      <c r="N68" s="130">
        <v>2023</v>
      </c>
      <c r="O68" s="129">
        <v>2024</v>
      </c>
      <c r="P68" s="130">
        <v>2025</v>
      </c>
      <c r="Q68" s="130">
        <v>2026</v>
      </c>
      <c r="R68" s="130">
        <v>2027</v>
      </c>
      <c r="S68" s="129">
        <v>2028</v>
      </c>
      <c r="T68" s="130">
        <v>2029</v>
      </c>
      <c r="U68" s="130">
        <v>2030</v>
      </c>
      <c r="V68" s="130">
        <v>2031</v>
      </c>
      <c r="X68" t="s">
        <v>116</v>
      </c>
    </row>
    <row r="69" spans="1:26" x14ac:dyDescent="0.25">
      <c r="A69" s="128" t="s">
        <v>0</v>
      </c>
      <c r="B69" s="99"/>
      <c r="C69" s="99"/>
      <c r="D69" s="99"/>
      <c r="E69" s="99"/>
      <c r="F69" s="99"/>
      <c r="G69" s="99"/>
      <c r="H69" s="99"/>
      <c r="I69" s="99"/>
      <c r="J69" s="99"/>
      <c r="K69" s="100">
        <f>K76-K71</f>
        <v>14905000</v>
      </c>
      <c r="L69" s="101">
        <f>L76*L70</f>
        <v>16587000</v>
      </c>
      <c r="M69" s="102">
        <f t="shared" ref="M69:U69" si="52">M76*M70</f>
        <v>16744320</v>
      </c>
      <c r="N69" s="102">
        <f t="shared" si="52"/>
        <v>16901298</v>
      </c>
      <c r="O69" s="102">
        <f t="shared" si="52"/>
        <v>16876390.824000001</v>
      </c>
      <c r="P69" s="102">
        <f t="shared" si="52"/>
        <v>16875782.292908549</v>
      </c>
      <c r="Q69" s="102">
        <f t="shared" si="52"/>
        <v>16597385.350728216</v>
      </c>
      <c r="R69" s="102">
        <f t="shared" si="52"/>
        <v>16460835.530000262</v>
      </c>
      <c r="S69" s="102">
        <f t="shared" si="52"/>
        <v>16522706.795434268</v>
      </c>
      <c r="T69" s="102">
        <f t="shared" si="52"/>
        <v>16724558.575722413</v>
      </c>
      <c r="U69" s="102">
        <f t="shared" si="52"/>
        <v>17002183.455927964</v>
      </c>
      <c r="V69" s="103">
        <f>V76*V70</f>
        <v>17308046.709955953</v>
      </c>
      <c r="X69" s="38" t="s">
        <v>8</v>
      </c>
      <c r="Y69" s="46">
        <f>V74-Y73</f>
        <v>0.15000000000000002</v>
      </c>
      <c r="Z69" s="2"/>
    </row>
    <row r="70" spans="1:26" x14ac:dyDescent="0.25">
      <c r="A70" s="128" t="s">
        <v>4</v>
      </c>
      <c r="B70" s="99"/>
      <c r="C70" s="99"/>
      <c r="D70" s="99"/>
      <c r="E70" s="99"/>
      <c r="F70" s="99"/>
      <c r="G70" s="99"/>
      <c r="H70" s="99"/>
      <c r="I70" s="99"/>
      <c r="J70" s="99"/>
      <c r="K70" s="100">
        <f t="shared" ref="K70:U70" si="53">1-K73</f>
        <v>0.97862093989352472</v>
      </c>
      <c r="L70" s="101">
        <f t="shared" si="53"/>
        <v>0.97</v>
      </c>
      <c r="M70" s="102">
        <f t="shared" si="53"/>
        <v>0.96</v>
      </c>
      <c r="N70" s="102">
        <f t="shared" si="53"/>
        <v>0.95</v>
      </c>
      <c r="O70" s="102">
        <f t="shared" si="53"/>
        <v>0.92999999999999994</v>
      </c>
      <c r="P70" s="102">
        <f t="shared" si="53"/>
        <v>0.91173182935221075</v>
      </c>
      <c r="Q70" s="102">
        <f t="shared" si="53"/>
        <v>0.87910896343709044</v>
      </c>
      <c r="R70" s="102">
        <f t="shared" si="53"/>
        <v>0.85478075307098877</v>
      </c>
      <c r="S70" s="102">
        <f t="shared" si="53"/>
        <v>0.84117020929933217</v>
      </c>
      <c r="T70" s="102">
        <f t="shared" si="53"/>
        <v>0.83475144484117436</v>
      </c>
      <c r="U70" s="102">
        <f t="shared" si="53"/>
        <v>0.8319688033965329</v>
      </c>
      <c r="V70" s="103">
        <f>1-V73</f>
        <v>0.83032904635509575</v>
      </c>
      <c r="X70" s="17" t="s">
        <v>9</v>
      </c>
      <c r="Y70" s="47">
        <v>0.9</v>
      </c>
    </row>
    <row r="71" spans="1:26" x14ac:dyDescent="0.25">
      <c r="A71" s="128" t="s">
        <v>1</v>
      </c>
      <c r="B71" s="99"/>
      <c r="C71" s="99"/>
      <c r="D71" s="99"/>
      <c r="E71" s="99"/>
      <c r="F71" s="99"/>
      <c r="G71" s="99"/>
      <c r="H71" s="99"/>
      <c r="I71" s="99"/>
      <c r="J71" s="99"/>
      <c r="K71" s="100">
        <v>295000</v>
      </c>
      <c r="L71" s="101">
        <f>L76*L73</f>
        <v>513000</v>
      </c>
      <c r="M71" s="102">
        <f t="shared" ref="M71:V71" si="54">M76*M73</f>
        <v>697680</v>
      </c>
      <c r="N71" s="102">
        <f t="shared" si="54"/>
        <v>889542</v>
      </c>
      <c r="O71" s="102">
        <f t="shared" si="54"/>
        <v>1270265.9760000003</v>
      </c>
      <c r="P71" s="102">
        <f t="shared" si="54"/>
        <v>1633807.6430914509</v>
      </c>
      <c r="Q71" s="102">
        <f t="shared" si="54"/>
        <v>2282396.3839917886</v>
      </c>
      <c r="R71" s="102">
        <f t="shared" si="54"/>
        <v>2796541.839414143</v>
      </c>
      <c r="S71" s="102">
        <f t="shared" si="54"/>
        <v>3119818.121368425</v>
      </c>
      <c r="T71" s="102">
        <f t="shared" si="54"/>
        <v>3310816.8394163344</v>
      </c>
      <c r="U71" s="102">
        <f t="shared" si="54"/>
        <v>3433899.4675135589</v>
      </c>
      <c r="V71" s="103">
        <f t="shared" si="54"/>
        <v>3536757.8719544001</v>
      </c>
      <c r="X71" s="17" t="s">
        <v>10</v>
      </c>
      <c r="Y71" s="47">
        <v>-0.8</v>
      </c>
    </row>
    <row r="72" spans="1:26" ht="12" hidden="1" customHeight="1" x14ac:dyDescent="0.25">
      <c r="A72" s="128"/>
      <c r="K72" s="92">
        <v>-6</v>
      </c>
      <c r="L72" s="93">
        <f>K72+1</f>
        <v>-5</v>
      </c>
      <c r="M72" s="90">
        <f t="shared" ref="M72:U72" si="55">L72+1</f>
        <v>-4</v>
      </c>
      <c r="N72" s="90">
        <f t="shared" si="55"/>
        <v>-3</v>
      </c>
      <c r="O72" s="90">
        <f t="shared" si="55"/>
        <v>-2</v>
      </c>
      <c r="P72" s="90">
        <f t="shared" si="55"/>
        <v>-1</v>
      </c>
      <c r="Q72" s="90">
        <f t="shared" si="55"/>
        <v>0</v>
      </c>
      <c r="R72" s="90">
        <f t="shared" si="55"/>
        <v>1</v>
      </c>
      <c r="S72" s="90">
        <f t="shared" si="55"/>
        <v>2</v>
      </c>
      <c r="T72" s="90">
        <f t="shared" si="55"/>
        <v>3</v>
      </c>
      <c r="U72" s="90">
        <f t="shared" si="55"/>
        <v>4</v>
      </c>
      <c r="V72" s="91">
        <v>6</v>
      </c>
      <c r="X72" s="17" t="s">
        <v>29</v>
      </c>
      <c r="Y72" s="50">
        <v>0</v>
      </c>
    </row>
    <row r="73" spans="1:26" ht="15.75" thickBot="1" x14ac:dyDescent="0.3">
      <c r="A73" s="128" t="s">
        <v>12</v>
      </c>
      <c r="B73" s="99"/>
      <c r="C73" s="99"/>
      <c r="D73" s="99"/>
      <c r="E73" s="99"/>
      <c r="F73" s="99"/>
      <c r="G73" s="99"/>
      <c r="H73" s="99"/>
      <c r="I73" s="99"/>
      <c r="J73" s="99"/>
      <c r="K73" s="104">
        <f>($Y$69/(1+(2.71828^(-$Y$70*(K72-$Y$71)))))+$Y$73</f>
        <v>2.1379060106475313E-2</v>
      </c>
      <c r="L73" s="105">
        <v>0.03</v>
      </c>
      <c r="M73" s="97">
        <v>0.04</v>
      </c>
      <c r="N73" s="97">
        <v>0.05</v>
      </c>
      <c r="O73" s="97">
        <v>7.0000000000000007E-2</v>
      </c>
      <c r="P73" s="97">
        <f t="shared" ref="P73:V73" si="56">($Y$69/(1+(2.71828^(-$Y$70*(P72-$Y$71)))))+$Y$73</f>
        <v>8.8268170647789274E-2</v>
      </c>
      <c r="Q73" s="97">
        <f t="shared" si="56"/>
        <v>0.1208910365629096</v>
      </c>
      <c r="R73" s="97">
        <f t="shared" si="56"/>
        <v>0.14521924692901123</v>
      </c>
      <c r="S73" s="97">
        <f t="shared" si="56"/>
        <v>0.15882979070066786</v>
      </c>
      <c r="T73" s="97">
        <f t="shared" si="56"/>
        <v>0.16524855515882564</v>
      </c>
      <c r="U73" s="97">
        <f t="shared" si="56"/>
        <v>0.1680311966034671</v>
      </c>
      <c r="V73" s="106">
        <f t="shared" si="56"/>
        <v>0.16967095364490428</v>
      </c>
      <c r="X73" s="39" t="s">
        <v>29</v>
      </c>
      <c r="Y73" s="48">
        <f>K74</f>
        <v>0.02</v>
      </c>
    </row>
    <row r="74" spans="1:26" x14ac:dyDescent="0.25">
      <c r="A74" s="128" t="s">
        <v>11</v>
      </c>
      <c r="B74" s="107"/>
      <c r="C74" s="107"/>
      <c r="D74" s="107"/>
      <c r="E74" s="107"/>
      <c r="F74" s="107"/>
      <c r="G74" s="107"/>
      <c r="H74" s="107"/>
      <c r="I74" s="107"/>
      <c r="J74" s="107"/>
      <c r="K74" s="108">
        <v>0.02</v>
      </c>
      <c r="L74" s="109">
        <v>3.5000000000000003E-2</v>
      </c>
      <c r="M74" s="110"/>
      <c r="N74" s="110"/>
      <c r="O74" s="110"/>
      <c r="P74" s="110"/>
      <c r="Q74" s="110"/>
      <c r="R74" s="110"/>
      <c r="S74" s="110"/>
      <c r="T74" s="110"/>
      <c r="U74" s="110"/>
      <c r="V74" s="111">
        <f>K24</f>
        <v>0.17</v>
      </c>
    </row>
    <row r="75" spans="1:26" x14ac:dyDescent="0.25">
      <c r="A75" s="128" t="s">
        <v>96</v>
      </c>
      <c r="B75" s="107"/>
      <c r="C75" s="107"/>
      <c r="D75" s="107"/>
      <c r="E75" s="107"/>
      <c r="F75" s="107"/>
      <c r="G75" s="107"/>
      <c r="H75" s="107"/>
      <c r="I75" s="107"/>
      <c r="J75" s="107"/>
      <c r="K75" s="112">
        <f>K71-K77</f>
        <v>82200</v>
      </c>
      <c r="L75" s="113">
        <f t="shared" ref="L75:V75" si="57">L71-L77</f>
        <v>68400</v>
      </c>
      <c r="M75" s="114">
        <f t="shared" si="57"/>
        <v>132559.19999999995</v>
      </c>
      <c r="N75" s="114">
        <f t="shared" si="57"/>
        <v>219420.35999999987</v>
      </c>
      <c r="O75" s="114">
        <f t="shared" si="57"/>
        <v>385314.01272</v>
      </c>
      <c r="P75" s="114">
        <f t="shared" si="57"/>
        <v>588170.75151292211</v>
      </c>
      <c r="Q75" s="114">
        <f t="shared" si="57"/>
        <v>950998.49332991149</v>
      </c>
      <c r="R75" s="114">
        <f t="shared" si="57"/>
        <v>1323696.4706560273</v>
      </c>
      <c r="S75" s="114">
        <f t="shared" si="57"/>
        <v>1653503.6043252645</v>
      </c>
      <c r="T75" s="114">
        <f t="shared" si="57"/>
        <v>1942345.8791242489</v>
      </c>
      <c r="U75" s="114">
        <f t="shared" si="57"/>
        <v>2209141.9907670552</v>
      </c>
      <c r="V75" s="115">
        <f t="shared" si="57"/>
        <v>2475730.5103680799</v>
      </c>
    </row>
    <row r="76" spans="1:26" x14ac:dyDescent="0.25">
      <c r="A76" s="128" t="s">
        <v>16</v>
      </c>
      <c r="B76" s="107"/>
      <c r="C76" s="107"/>
      <c r="D76" s="107"/>
      <c r="E76" s="107"/>
      <c r="F76" s="107"/>
      <c r="G76" s="107"/>
      <c r="H76" s="107"/>
      <c r="I76" s="107"/>
      <c r="J76" s="107"/>
      <c r="K76" s="116">
        <v>15200000</v>
      </c>
      <c r="L76" s="117">
        <v>17100000</v>
      </c>
      <c r="M76" s="118">
        <f t="shared" ref="M76:V76" si="58">L76*(1+$K$23)</f>
        <v>17442000</v>
      </c>
      <c r="N76" s="118">
        <f t="shared" si="58"/>
        <v>17790840</v>
      </c>
      <c r="O76" s="118">
        <f t="shared" si="58"/>
        <v>18146656.800000001</v>
      </c>
      <c r="P76" s="118">
        <f t="shared" si="58"/>
        <v>18509589.936000001</v>
      </c>
      <c r="Q76" s="118">
        <f t="shared" si="58"/>
        <v>18879781.734720003</v>
      </c>
      <c r="R76" s="118">
        <f t="shared" si="58"/>
        <v>19257377.369414404</v>
      </c>
      <c r="S76" s="118">
        <f t="shared" si="58"/>
        <v>19642524.916802693</v>
      </c>
      <c r="T76" s="118">
        <f t="shared" si="58"/>
        <v>20035375.415138748</v>
      </c>
      <c r="U76" s="118">
        <f t="shared" si="58"/>
        <v>20436082.923441522</v>
      </c>
      <c r="V76" s="119">
        <f t="shared" si="58"/>
        <v>20844804.581910353</v>
      </c>
    </row>
    <row r="77" spans="1:26" x14ac:dyDescent="0.25">
      <c r="A77" s="128" t="s">
        <v>13</v>
      </c>
      <c r="B77" s="107"/>
      <c r="C77" s="107"/>
      <c r="D77" s="107"/>
      <c r="E77" s="107"/>
      <c r="F77" s="107"/>
      <c r="G77" s="107"/>
      <c r="H77" s="107"/>
      <c r="I77" s="107"/>
      <c r="J77" s="107"/>
      <c r="K77" s="120">
        <f>K76*K78</f>
        <v>212800</v>
      </c>
      <c r="L77" s="121">
        <f>L76*L78</f>
        <v>444600</v>
      </c>
      <c r="M77" s="122">
        <f t="shared" ref="M77:V77" si="59">M76*M78</f>
        <v>565120.80000000005</v>
      </c>
      <c r="N77" s="122">
        <f t="shared" si="59"/>
        <v>670121.64000000013</v>
      </c>
      <c r="O77" s="122">
        <f t="shared" si="59"/>
        <v>884951.96328000026</v>
      </c>
      <c r="P77" s="122">
        <f t="shared" si="59"/>
        <v>1045636.8915785288</v>
      </c>
      <c r="Q77" s="122">
        <f t="shared" si="59"/>
        <v>1331397.8906618771</v>
      </c>
      <c r="R77" s="122">
        <f t="shared" si="59"/>
        <v>1472845.3687581157</v>
      </c>
      <c r="S77" s="122">
        <f t="shared" si="59"/>
        <v>1466314.5170431605</v>
      </c>
      <c r="T77" s="122">
        <f t="shared" si="59"/>
        <v>1368470.9602920855</v>
      </c>
      <c r="U77" s="122">
        <f t="shared" si="59"/>
        <v>1224757.4767465035</v>
      </c>
      <c r="V77" s="123">
        <f t="shared" si="59"/>
        <v>1061027.36158632</v>
      </c>
    </row>
    <row r="78" spans="1:26" x14ac:dyDescent="0.25">
      <c r="A78" s="128" t="s">
        <v>14</v>
      </c>
      <c r="B78" s="107"/>
      <c r="C78" s="107"/>
      <c r="D78" s="107"/>
      <c r="E78" s="107"/>
      <c r="F78" s="107"/>
      <c r="G78" s="107"/>
      <c r="H78" s="107"/>
      <c r="I78" s="107"/>
      <c r="J78" s="107"/>
      <c r="K78" s="124">
        <v>1.4E-2</v>
      </c>
      <c r="L78" s="109">
        <v>2.5999999999999999E-2</v>
      </c>
      <c r="M78" s="125">
        <f>M79*M73</f>
        <v>3.2400000000000005E-2</v>
      </c>
      <c r="N78" s="125">
        <f t="shared" ref="N78:P78" si="60">N79*N73</f>
        <v>3.7666666666666675E-2</v>
      </c>
      <c r="O78" s="125">
        <f t="shared" si="60"/>
        <v>4.876666666666668E-2</v>
      </c>
      <c r="P78" s="125">
        <f t="shared" si="60"/>
        <v>5.6491629214585143E-2</v>
      </c>
      <c r="Q78" s="125">
        <f t="shared" ref="Q78" si="61">Q79*Q73</f>
        <v>7.0519771328363956E-2</v>
      </c>
      <c r="R78" s="125">
        <f t="shared" ref="R78:S78" si="62">R79*R73</f>
        <v>7.6482136715945934E-2</v>
      </c>
      <c r="S78" s="125">
        <f t="shared" si="62"/>
        <v>7.4650001629313928E-2</v>
      </c>
      <c r="T78" s="125">
        <f t="shared" ref="T78" si="63">T79*T73</f>
        <v>6.8302736132314634E-2</v>
      </c>
      <c r="U78" s="125">
        <f t="shared" ref="U78:V78" si="64">U79*U73</f>
        <v>5.9931126788569974E-2</v>
      </c>
      <c r="V78" s="126">
        <f t="shared" si="64"/>
        <v>5.0901286093471283E-2</v>
      </c>
    </row>
    <row r="79" spans="1:26" x14ac:dyDescent="0.25">
      <c r="A79" s="128" t="s">
        <v>15</v>
      </c>
      <c r="K79" s="95">
        <f>K77/K71</f>
        <v>0.72135593220338978</v>
      </c>
      <c r="L79" s="96">
        <f>L78/L73</f>
        <v>0.8666666666666667</v>
      </c>
      <c r="M79" s="97">
        <f>L79-(($L$79-$V$79)/10)</f>
        <v>0.81</v>
      </c>
      <c r="N79" s="97">
        <f>M79-(($L$79-$V$79)/10)</f>
        <v>0.75333333333333341</v>
      </c>
      <c r="O79" s="97">
        <f>N79-(($L$79-$V$79)/10)</f>
        <v>0.69666666666666677</v>
      </c>
      <c r="P79" s="97">
        <f t="shared" ref="P79:U79" si="65">O79-(($L$79-$V$79)/10)</f>
        <v>0.64000000000000012</v>
      </c>
      <c r="Q79" s="97">
        <f t="shared" si="65"/>
        <v>0.58333333333333348</v>
      </c>
      <c r="R79" s="97">
        <f t="shared" si="65"/>
        <v>0.52666666666666684</v>
      </c>
      <c r="S79" s="97">
        <f t="shared" si="65"/>
        <v>0.4700000000000002</v>
      </c>
      <c r="T79" s="97">
        <f t="shared" si="65"/>
        <v>0.41333333333333355</v>
      </c>
      <c r="U79" s="97">
        <f t="shared" si="65"/>
        <v>0.35666666666666691</v>
      </c>
      <c r="V79" s="98">
        <f>K26</f>
        <v>0.3</v>
      </c>
    </row>
    <row r="81" spans="1:22" x14ac:dyDescent="0.25">
      <c r="L81" s="12"/>
    </row>
    <row r="83" spans="1:22" x14ac:dyDescent="0.25">
      <c r="K83" s="129">
        <v>2020</v>
      </c>
      <c r="L83" s="130">
        <v>2021</v>
      </c>
      <c r="M83" s="130">
        <v>2022</v>
      </c>
      <c r="N83" s="130">
        <v>2023</v>
      </c>
      <c r="O83" s="129">
        <v>2024</v>
      </c>
      <c r="P83" s="130">
        <v>2025</v>
      </c>
      <c r="Q83" s="130">
        <v>2026</v>
      </c>
      <c r="R83" s="130">
        <v>2027</v>
      </c>
      <c r="S83" s="129">
        <v>2028</v>
      </c>
      <c r="T83" s="130">
        <v>2029</v>
      </c>
      <c r="U83" s="130">
        <v>2030</v>
      </c>
      <c r="V83" s="130">
        <v>2031</v>
      </c>
    </row>
    <row r="84" spans="1:22" x14ac:dyDescent="0.25">
      <c r="A84" t="s">
        <v>7</v>
      </c>
      <c r="K84" s="2">
        <v>2.1379060106475299E-2</v>
      </c>
      <c r="L84" s="2">
        <v>0.03</v>
      </c>
      <c r="M84" s="2">
        <v>0.04</v>
      </c>
      <c r="N84" s="2">
        <v>0.05</v>
      </c>
      <c r="O84" s="2">
        <v>7.0000000000000007E-2</v>
      </c>
      <c r="P84" s="2">
        <v>8.8268170647789274E-2</v>
      </c>
      <c r="Q84" s="2">
        <v>0.1208910365629096</v>
      </c>
      <c r="R84" s="2">
        <v>0.14521924692901123</v>
      </c>
      <c r="S84" s="2">
        <v>0.15882979070066786</v>
      </c>
      <c r="T84" s="2">
        <v>0.16524855515882564</v>
      </c>
      <c r="U84" s="2">
        <v>0.1680311966034671</v>
      </c>
      <c r="V84" s="2">
        <v>0.16967095364490428</v>
      </c>
    </row>
    <row r="85" spans="1:22" x14ac:dyDescent="0.25">
      <c r="A85" t="s">
        <v>142</v>
      </c>
      <c r="K85" s="2">
        <v>0.03</v>
      </c>
      <c r="L85" s="2">
        <v>0.09</v>
      </c>
      <c r="M85" s="2">
        <v>0.16</v>
      </c>
      <c r="N85" s="2">
        <v>0.2</v>
      </c>
      <c r="O85" s="2">
        <v>0.24</v>
      </c>
      <c r="P85" s="2">
        <v>0.28000000000000003</v>
      </c>
      <c r="Q85" s="2">
        <v>0.32</v>
      </c>
      <c r="R85" s="2">
        <v>0.36</v>
      </c>
      <c r="S85" s="2">
        <v>0.4</v>
      </c>
      <c r="T85" s="2">
        <v>0.44</v>
      </c>
      <c r="U85" s="2">
        <v>0.46</v>
      </c>
      <c r="V85" s="2">
        <v>0.48</v>
      </c>
    </row>
    <row r="86" spans="1:22" x14ac:dyDescent="0.25">
      <c r="A86" t="s">
        <v>143</v>
      </c>
      <c r="K86" s="104">
        <v>0.05</v>
      </c>
      <c r="L86" s="105">
        <v>0.1</v>
      </c>
      <c r="M86" s="97">
        <v>0.16</v>
      </c>
      <c r="N86" s="97">
        <v>0.2</v>
      </c>
      <c r="O86" s="97">
        <v>0.24</v>
      </c>
      <c r="P86" s="97">
        <v>0.28000000000000003</v>
      </c>
      <c r="Q86" s="97">
        <v>0.32</v>
      </c>
      <c r="R86" s="97">
        <v>0.36</v>
      </c>
      <c r="S86" s="97">
        <v>0.4</v>
      </c>
      <c r="T86" s="97">
        <v>0.42</v>
      </c>
      <c r="U86" s="97">
        <v>0.43</v>
      </c>
      <c r="V86" s="97">
        <v>0.44</v>
      </c>
    </row>
  </sheetData>
  <pageMargins left="0.511811024" right="0.511811024" top="0.78740157499999996" bottom="0.78740157499999996" header="0.31496062000000002" footer="0.31496062000000002"/>
  <pageSetup paperSize="9" orientation="portrait" r:id="rId1"/>
  <ignoredErrors>
    <ignoredError sqref="K32:V32"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5BA13-7911-4048-B254-99590290933C}">
  <dimension ref="A1:P31"/>
  <sheetViews>
    <sheetView workbookViewId="0"/>
  </sheetViews>
  <sheetFormatPr defaultRowHeight="15" x14ac:dyDescent="0.25"/>
  <cols>
    <col min="1" max="3" width="36.7109375" customWidth="1"/>
  </cols>
  <sheetData>
    <row r="1" spans="1:16" x14ac:dyDescent="0.25">
      <c r="A1" s="8" t="s">
        <v>66</v>
      </c>
    </row>
    <row r="2" spans="1:16" x14ac:dyDescent="0.25">
      <c r="P2" t="e">
        <f ca="1">_xll.CB.RecalcCounterFN()</f>
        <v>#NAME?</v>
      </c>
    </row>
    <row r="3" spans="1:16" x14ac:dyDescent="0.25">
      <c r="A3" t="s">
        <v>67</v>
      </c>
      <c r="B3" t="s">
        <v>68</v>
      </c>
      <c r="C3">
        <v>0</v>
      </c>
    </row>
    <row r="4" spans="1:16" x14ac:dyDescent="0.25">
      <c r="A4" t="s">
        <v>69</v>
      </c>
    </row>
    <row r="5" spans="1:16" x14ac:dyDescent="0.25">
      <c r="A5" t="s">
        <v>70</v>
      </c>
    </row>
    <row r="7" spans="1:16" x14ac:dyDescent="0.25">
      <c r="A7" s="8" t="s">
        <v>71</v>
      </c>
      <c r="B7" t="s">
        <v>72</v>
      </c>
    </row>
    <row r="8" spans="1:16" x14ac:dyDescent="0.25">
      <c r="B8">
        <v>3</v>
      </c>
    </row>
    <row r="10" spans="1:16" x14ac:dyDescent="0.25">
      <c r="A10" t="s">
        <v>73</v>
      </c>
    </row>
    <row r="11" spans="1:16" x14ac:dyDescent="0.25">
      <c r="A11" t="e">
        <f>CB_DATA_!#REF!</f>
        <v>#REF!</v>
      </c>
      <c r="B11" t="e">
        <f>Tesla!#REF!</f>
        <v>#REF!</v>
      </c>
      <c r="C11" t="e">
        <f>'Mercado Global de Carros'!#REF!</f>
        <v>#REF!</v>
      </c>
    </row>
    <row r="13" spans="1:16" x14ac:dyDescent="0.25">
      <c r="A13" t="s">
        <v>74</v>
      </c>
    </row>
    <row r="14" spans="1:16" x14ac:dyDescent="0.25">
      <c r="A14" t="s">
        <v>78</v>
      </c>
      <c r="B14" t="s">
        <v>82</v>
      </c>
      <c r="C14" t="s">
        <v>92</v>
      </c>
    </row>
    <row r="16" spans="1:16" x14ac:dyDescent="0.25">
      <c r="A16" t="s">
        <v>75</v>
      </c>
    </row>
    <row r="19" spans="1:3" x14ac:dyDescent="0.25">
      <c r="A19" t="s">
        <v>76</v>
      </c>
    </row>
    <row r="20" spans="1:3" x14ac:dyDescent="0.25">
      <c r="A20">
        <v>31</v>
      </c>
      <c r="B20">
        <v>31</v>
      </c>
      <c r="C20">
        <v>31</v>
      </c>
    </row>
    <row r="25" spans="1:3" x14ac:dyDescent="0.25">
      <c r="A25" s="8" t="s">
        <v>77</v>
      </c>
    </row>
    <row r="26" spans="1:3" x14ac:dyDescent="0.25">
      <c r="A26" s="9" t="s">
        <v>79</v>
      </c>
      <c r="B26" s="9" t="s">
        <v>83</v>
      </c>
      <c r="C26" s="9" t="s">
        <v>83</v>
      </c>
    </row>
    <row r="27" spans="1:3" x14ac:dyDescent="0.25">
      <c r="A27" t="s">
        <v>80</v>
      </c>
      <c r="B27" t="s">
        <v>114</v>
      </c>
      <c r="C27" t="s">
        <v>113</v>
      </c>
    </row>
    <row r="28" spans="1:3" x14ac:dyDescent="0.25">
      <c r="A28" s="9" t="s">
        <v>81</v>
      </c>
      <c r="B28" s="9" t="s">
        <v>81</v>
      </c>
      <c r="C28" s="9" t="s">
        <v>81</v>
      </c>
    </row>
    <row r="29" spans="1:3" x14ac:dyDescent="0.25">
      <c r="A29" s="9" t="s">
        <v>83</v>
      </c>
      <c r="B29" s="9" t="s">
        <v>79</v>
      </c>
      <c r="C29" s="9" t="s">
        <v>79</v>
      </c>
    </row>
    <row r="30" spans="1:3" x14ac:dyDescent="0.25">
      <c r="A30" t="s">
        <v>115</v>
      </c>
      <c r="B30" t="s">
        <v>112</v>
      </c>
      <c r="C30" t="s">
        <v>93</v>
      </c>
    </row>
    <row r="31" spans="1:3" x14ac:dyDescent="0.25">
      <c r="A31" s="9" t="s">
        <v>81</v>
      </c>
      <c r="B31" s="9" t="s">
        <v>81</v>
      </c>
      <c r="C31" s="9" t="s">
        <v>81</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CE707-1B16-4C86-94E5-FFAF2E564F28}">
  <dimension ref="A1:M74"/>
  <sheetViews>
    <sheetView tabSelected="1" topLeftCell="A62" zoomScale="94" zoomScaleNormal="115" workbookViewId="0">
      <pane xSplit="1" topLeftCell="B1" activePane="topRight" state="frozen"/>
      <selection pane="topRight" activeCell="B69" sqref="B69"/>
    </sheetView>
  </sheetViews>
  <sheetFormatPr defaultRowHeight="15" x14ac:dyDescent="0.25"/>
  <cols>
    <col min="1" max="1" width="45.28515625" bestFit="1" customWidth="1"/>
    <col min="2" max="2" width="25.85546875" customWidth="1"/>
    <col min="3" max="3" width="28.140625" customWidth="1"/>
    <col min="4" max="4" width="27.28515625" bestFit="1" customWidth="1"/>
    <col min="5" max="6" width="22.7109375" bestFit="1" customWidth="1"/>
    <col min="7" max="7" width="21" bestFit="1" customWidth="1"/>
    <col min="8" max="11" width="21.7109375" bestFit="1" customWidth="1"/>
    <col min="12" max="12" width="22.7109375" bestFit="1" customWidth="1"/>
    <col min="13" max="13" width="22.140625" bestFit="1" customWidth="1"/>
  </cols>
  <sheetData>
    <row r="1" spans="1:4" x14ac:dyDescent="0.25">
      <c r="A1" s="59" t="s">
        <v>117</v>
      </c>
      <c r="B1" s="60">
        <f>B69</f>
        <v>2017.8388817032444</v>
      </c>
    </row>
    <row r="2" spans="1:4" x14ac:dyDescent="0.25">
      <c r="A2" s="59"/>
    </row>
    <row r="3" spans="1:4" ht="15.75" thickBot="1" x14ac:dyDescent="0.3">
      <c r="A3" s="14" t="s">
        <v>49</v>
      </c>
    </row>
    <row r="4" spans="1:4" x14ac:dyDescent="0.25">
      <c r="A4" s="51" t="s">
        <v>50</v>
      </c>
      <c r="B4" s="40" t="s">
        <v>51</v>
      </c>
      <c r="C4" s="41"/>
    </row>
    <row r="5" spans="1:4" x14ac:dyDescent="0.25">
      <c r="A5" s="42" t="s">
        <v>25</v>
      </c>
      <c r="B5" s="52">
        <f>7611/0.139593</f>
        <v>54522.791257441277</v>
      </c>
      <c r="C5" s="31" t="s">
        <v>94</v>
      </c>
    </row>
    <row r="6" spans="1:4" x14ac:dyDescent="0.25">
      <c r="A6" s="42" t="s">
        <v>53</v>
      </c>
      <c r="B6" s="52">
        <v>10000</v>
      </c>
      <c r="C6" s="31" t="s">
        <v>64</v>
      </c>
    </row>
    <row r="7" spans="1:4" x14ac:dyDescent="0.25">
      <c r="A7" s="42" t="s">
        <v>57</v>
      </c>
      <c r="B7" s="53">
        <v>0.12</v>
      </c>
      <c r="C7" s="31" t="s">
        <v>63</v>
      </c>
    </row>
    <row r="8" spans="1:4" x14ac:dyDescent="0.25">
      <c r="A8" s="42" t="s">
        <v>58</v>
      </c>
      <c r="B8" s="53">
        <v>0.4</v>
      </c>
      <c r="C8" s="31"/>
    </row>
    <row r="9" spans="1:4" x14ac:dyDescent="0.25">
      <c r="A9" s="42" t="s">
        <v>59</v>
      </c>
      <c r="B9" s="54">
        <v>0.48</v>
      </c>
      <c r="C9" s="31"/>
    </row>
    <row r="10" spans="1:4" x14ac:dyDescent="0.25">
      <c r="A10" s="42" t="s">
        <v>26</v>
      </c>
      <c r="B10" s="55">
        <v>0.27700000000000002</v>
      </c>
      <c r="C10" s="31" t="s">
        <v>55</v>
      </c>
    </row>
    <row r="11" spans="1:4" x14ac:dyDescent="0.25">
      <c r="A11" s="42" t="s">
        <v>54</v>
      </c>
      <c r="B11" s="53">
        <v>0.08</v>
      </c>
      <c r="C11" s="31" t="s">
        <v>56</v>
      </c>
    </row>
    <row r="12" spans="1:4" x14ac:dyDescent="0.25">
      <c r="A12" s="42" t="s">
        <v>95</v>
      </c>
      <c r="B12" s="56">
        <v>0.04</v>
      </c>
      <c r="C12" s="31"/>
      <c r="D12" t="s">
        <v>137</v>
      </c>
    </row>
    <row r="13" spans="1:4" x14ac:dyDescent="0.25">
      <c r="A13" s="42" t="s">
        <v>60</v>
      </c>
      <c r="B13" s="57">
        <v>10000000000</v>
      </c>
      <c r="C13" s="31" t="s">
        <v>62</v>
      </c>
    </row>
    <row r="14" spans="1:4" x14ac:dyDescent="0.25">
      <c r="A14" s="42" t="s">
        <v>97</v>
      </c>
      <c r="B14" s="35">
        <v>0.7</v>
      </c>
      <c r="C14" s="31" t="s">
        <v>98</v>
      </c>
    </row>
    <row r="15" spans="1:4" ht="15.75" thickBot="1" x14ac:dyDescent="0.3">
      <c r="A15" s="43" t="s">
        <v>36</v>
      </c>
      <c r="B15" s="58" t="s">
        <v>100</v>
      </c>
      <c r="C15" s="45" t="s">
        <v>99</v>
      </c>
    </row>
    <row r="17" spans="1:13" ht="15.75" thickBot="1" x14ac:dyDescent="0.3"/>
    <row r="18" spans="1:13" x14ac:dyDescent="0.25">
      <c r="A18" s="79" t="s">
        <v>122</v>
      </c>
      <c r="B18" s="70">
        <v>2022</v>
      </c>
      <c r="C18" s="70">
        <v>2023</v>
      </c>
      <c r="D18" s="70">
        <v>2024</v>
      </c>
      <c r="E18" s="70">
        <v>2025</v>
      </c>
      <c r="F18" s="70">
        <v>2026</v>
      </c>
      <c r="G18" s="70">
        <v>2027</v>
      </c>
      <c r="H18" s="70">
        <v>2028</v>
      </c>
      <c r="I18" s="70">
        <v>2029</v>
      </c>
      <c r="J18" s="70">
        <v>2030</v>
      </c>
      <c r="K18" s="70">
        <v>2031</v>
      </c>
      <c r="L18" s="71" t="s">
        <v>24</v>
      </c>
    </row>
    <row r="19" spans="1:13" x14ac:dyDescent="0.25">
      <c r="A19" s="42" t="s">
        <v>25</v>
      </c>
      <c r="B19" s="72">
        <f>($B$5)*(1+$B$12)</f>
        <v>56703.702907738931</v>
      </c>
      <c r="C19" s="72">
        <f>B19*(1+$B$12)</f>
        <v>58971.85102404849</v>
      </c>
      <c r="D19" s="72">
        <f t="shared" ref="D19:L19" si="0">C19*(1+$B$12)</f>
        <v>61330.725065010432</v>
      </c>
      <c r="E19" s="72">
        <f t="shared" si="0"/>
        <v>63783.954067610852</v>
      </c>
      <c r="F19" s="72">
        <f t="shared" si="0"/>
        <v>66335.312230315292</v>
      </c>
      <c r="G19" s="72">
        <f t="shared" si="0"/>
        <v>68988.724719527905</v>
      </c>
      <c r="H19" s="72">
        <f t="shared" si="0"/>
        <v>71748.273708309018</v>
      </c>
      <c r="I19" s="72">
        <f t="shared" si="0"/>
        <v>74618.204656641377</v>
      </c>
      <c r="J19" s="72">
        <f t="shared" si="0"/>
        <v>77602.93284290703</v>
      </c>
      <c r="K19" s="72">
        <f t="shared" si="0"/>
        <v>80707.050156623314</v>
      </c>
      <c r="L19" s="73">
        <f t="shared" si="0"/>
        <v>83935.332162888255</v>
      </c>
    </row>
    <row r="20" spans="1:13" x14ac:dyDescent="0.25">
      <c r="A20" s="42" t="s">
        <v>136</v>
      </c>
      <c r="B20" s="72">
        <v>6935000000</v>
      </c>
      <c r="C20" s="72">
        <f xml:space="preserve"> B20 + ($L$20 - $B$20)/18</f>
        <v>6549722222.2222223</v>
      </c>
      <c r="D20" s="72">
        <f t="shared" ref="D20" si="1" xml:space="preserve"> C20 + ($L$20 - $B$20)/18</f>
        <v>6164444444.4444447</v>
      </c>
      <c r="E20" s="72"/>
      <c r="F20" s="72"/>
      <c r="G20" s="72"/>
      <c r="H20" s="72"/>
      <c r="I20" s="72"/>
      <c r="J20" s="72"/>
      <c r="K20" s="72"/>
      <c r="L20" s="73"/>
    </row>
    <row r="21" spans="1:13" x14ac:dyDescent="0.25">
      <c r="A21" s="42" t="s">
        <v>135</v>
      </c>
      <c r="B21" s="72">
        <v>2000000000</v>
      </c>
      <c r="C21" s="72">
        <v>2200000000</v>
      </c>
      <c r="D21" s="72">
        <v>1800000000</v>
      </c>
      <c r="E21" s="72">
        <v>1400000000</v>
      </c>
      <c r="F21" s="72">
        <v>1000000000</v>
      </c>
      <c r="G21" s="72">
        <v>800000000</v>
      </c>
      <c r="H21" s="72">
        <v>600000000</v>
      </c>
      <c r="I21" s="72">
        <v>400000000</v>
      </c>
      <c r="J21" s="72">
        <v>200000000</v>
      </c>
      <c r="K21" s="72">
        <v>180000000</v>
      </c>
      <c r="L21" s="73">
        <v>10000000</v>
      </c>
    </row>
    <row r="22" spans="1:13" x14ac:dyDescent="0.25">
      <c r="A22" s="42" t="s">
        <v>33</v>
      </c>
      <c r="B22" s="72">
        <f>B6</f>
        <v>10000</v>
      </c>
      <c r="C22" s="72">
        <f>B22</f>
        <v>10000</v>
      </c>
      <c r="D22" s="72">
        <f t="shared" ref="D22:K22" si="2">C22</f>
        <v>10000</v>
      </c>
      <c r="E22" s="72">
        <f t="shared" si="2"/>
        <v>10000</v>
      </c>
      <c r="F22" s="72">
        <f t="shared" si="2"/>
        <v>10000</v>
      </c>
      <c r="G22" s="72">
        <f t="shared" si="2"/>
        <v>10000</v>
      </c>
      <c r="H22" s="72">
        <f t="shared" si="2"/>
        <v>10000</v>
      </c>
      <c r="I22" s="72">
        <f t="shared" si="2"/>
        <v>10000</v>
      </c>
      <c r="J22" s="72">
        <f t="shared" si="2"/>
        <v>10000</v>
      </c>
      <c r="K22" s="72">
        <f t="shared" si="2"/>
        <v>10000</v>
      </c>
      <c r="L22" s="73">
        <v>10000</v>
      </c>
    </row>
    <row r="23" spans="1:13" x14ac:dyDescent="0.25">
      <c r="A23" s="42" t="s">
        <v>34</v>
      </c>
      <c r="B23" s="35">
        <f>B7</f>
        <v>0.12</v>
      </c>
      <c r="C23" s="35">
        <f>B23</f>
        <v>0.12</v>
      </c>
      <c r="D23" s="35">
        <f t="shared" ref="D23:K23" si="3">C23</f>
        <v>0.12</v>
      </c>
      <c r="E23" s="35">
        <f t="shared" si="3"/>
        <v>0.12</v>
      </c>
      <c r="F23" s="35">
        <f>B8</f>
        <v>0.4</v>
      </c>
      <c r="G23" s="35">
        <f t="shared" si="3"/>
        <v>0.4</v>
      </c>
      <c r="H23" s="35">
        <f t="shared" si="3"/>
        <v>0.4</v>
      </c>
      <c r="I23" s="35">
        <f t="shared" si="3"/>
        <v>0.4</v>
      </c>
      <c r="J23" s="35">
        <f t="shared" si="3"/>
        <v>0.4</v>
      </c>
      <c r="K23" s="35">
        <f t="shared" si="3"/>
        <v>0.4</v>
      </c>
      <c r="L23" s="36">
        <f>B9</f>
        <v>0.48</v>
      </c>
    </row>
    <row r="24" spans="1:13" x14ac:dyDescent="0.25">
      <c r="A24" s="17"/>
      <c r="B24" s="136" t="s">
        <v>23</v>
      </c>
      <c r="C24" s="136"/>
      <c r="D24" s="136"/>
      <c r="E24" s="136"/>
      <c r="F24" s="136"/>
      <c r="G24" s="136"/>
      <c r="H24" s="136"/>
      <c r="I24" s="136"/>
      <c r="J24" s="136"/>
      <c r="K24" s="136"/>
      <c r="L24" s="31" t="s">
        <v>24</v>
      </c>
    </row>
    <row r="25" spans="1:13" x14ac:dyDescent="0.25">
      <c r="A25" s="17"/>
      <c r="B25" s="30">
        <v>2021</v>
      </c>
      <c r="C25" s="30">
        <v>2022</v>
      </c>
      <c r="D25" s="30">
        <v>2023</v>
      </c>
      <c r="E25" s="30">
        <v>2024</v>
      </c>
      <c r="F25" s="30">
        <v>2025</v>
      </c>
      <c r="G25" s="30">
        <v>2026</v>
      </c>
      <c r="H25" s="30">
        <v>2027</v>
      </c>
      <c r="I25" s="30">
        <v>2028</v>
      </c>
      <c r="J25" s="30">
        <v>2029</v>
      </c>
      <c r="K25" s="30">
        <v>2030</v>
      </c>
      <c r="L25" s="31">
        <v>2031</v>
      </c>
    </row>
    <row r="26" spans="1:13" x14ac:dyDescent="0.25">
      <c r="A26" s="42" t="s">
        <v>38</v>
      </c>
      <c r="B26" s="24">
        <f>'Mercado Global de Carros'!M37</f>
        <v>1450453.3776</v>
      </c>
      <c r="C26" s="24">
        <f>'Mercado Global de Carros'!N37</f>
        <v>1816916.4545400001</v>
      </c>
      <c r="D26" s="24">
        <f>'Mercado Global de Carros'!O37</f>
        <v>2322064.3202980203</v>
      </c>
      <c r="E26" s="24">
        <f>'Mercado Global de Carros'!P37</f>
        <v>2796869.1278407909</v>
      </c>
      <c r="F26" s="24">
        <f>'Mercado Global de Carros'!Q37</f>
        <v>3460372.0284560132</v>
      </c>
      <c r="G26" s="24">
        <f>'Mercado Global de Carros'!R37</f>
        <v>3996300.5271971757</v>
      </c>
      <c r="H26" s="24">
        <f>'Mercado Global de Carros'!S37</f>
        <v>4428812.3488291241</v>
      </c>
      <c r="I26" s="24">
        <f>'Mercado Global de Carros'!T37</f>
        <v>4687830.549944615</v>
      </c>
      <c r="J26" s="24">
        <f>'Mercado Global de Carros'!U37</f>
        <v>4862458.6536468212</v>
      </c>
      <c r="K26" s="24">
        <f>'Mercado Global de Carros'!V37</f>
        <v>5067999.8803091757</v>
      </c>
      <c r="L26" s="27">
        <f>K26</f>
        <v>5067999.8803091757</v>
      </c>
    </row>
    <row r="27" spans="1:13" x14ac:dyDescent="0.25">
      <c r="A27" s="42" t="str">
        <f>'Mercado Global de Carros'!A38</f>
        <v xml:space="preserve">Tesla Total Market Share </v>
      </c>
      <c r="B27" s="25">
        <f>'Mercado Global de Carros'!M38</f>
        <v>2.5587424744554808E-2</v>
      </c>
      <c r="C27" s="25">
        <f>'Mercado Global de Carros'!N38</f>
        <v>3.1200190160491831E-2</v>
      </c>
      <c r="D27" s="25">
        <f>'Mercado Global de Carros'!O38</f>
        <v>3.8812612365650097E-2</v>
      </c>
      <c r="E27" s="25">
        <f>'Mercado Global de Carros'!P38</f>
        <v>4.5501318814214597E-2</v>
      </c>
      <c r="F27" s="25">
        <f>'Mercado Global de Carros'!Q38</f>
        <v>5.4790429224336482E-2</v>
      </c>
      <c r="G27" s="25">
        <f>'Mercado Global de Carros'!R38</f>
        <v>6.1581034671982282E-2</v>
      </c>
      <c r="H27" s="25">
        <f>'Mercado Global de Carros'!S38</f>
        <v>6.6414042409449037E-2</v>
      </c>
      <c r="I27" s="25">
        <f>'Mercado Global de Carros'!T38</f>
        <v>6.8407733781989902E-2</v>
      </c>
      <c r="J27" s="25">
        <f>'Mercado Global de Carros'!U38</f>
        <v>6.9044129408127111E-2</v>
      </c>
      <c r="K27" s="25">
        <f>'Mercado Global de Carros'!V38</f>
        <v>7.001995956689272E-2</v>
      </c>
      <c r="L27" s="26">
        <f>K27</f>
        <v>7.001995956689272E-2</v>
      </c>
    </row>
    <row r="28" spans="1:13" x14ac:dyDescent="0.25">
      <c r="A28" s="42" t="str">
        <f>'Mercado Global de Carros'!A39</f>
        <v xml:space="preserve">Tesla EV Market Share </v>
      </c>
      <c r="B28" s="25">
        <f>'Mercado Global de Carros'!M39</f>
        <v>0.20789817758210616</v>
      </c>
      <c r="C28" s="25">
        <f>'Mercado Global de Carros'!N39</f>
        <v>0.20236971485035579</v>
      </c>
      <c r="D28" s="25">
        <f>'Mercado Global de Carros'!O39</f>
        <v>0.2059720706560676</v>
      </c>
      <c r="E28" s="25">
        <f>'Mercado Global de Carros'!P39</f>
        <v>0.20471697764234881</v>
      </c>
      <c r="F28" s="25">
        <f>'Mercado Global de Carros'!Q39</f>
        <v>0.21034484156744523</v>
      </c>
      <c r="G28" s="25">
        <f>'Mercado Global de Carros'!R39</f>
        <v>0.20785829223323962</v>
      </c>
      <c r="H28" s="25">
        <f>'Mercado Global de Carros'!S39</f>
        <v>0.20188999827991883</v>
      </c>
      <c r="I28" s="25">
        <f>'Mercado Global de Carros'!T39</f>
        <v>0.19577682328135104</v>
      </c>
      <c r="J28" s="25">
        <f>'Mercado Global de Carros'!U39</f>
        <v>0.19190368248249545</v>
      </c>
      <c r="K28" s="25">
        <f>'Mercado Global de Carros'!V39</f>
        <v>0.18933178548946478</v>
      </c>
      <c r="L28" s="26">
        <f>K28</f>
        <v>0.18933178548946478</v>
      </c>
    </row>
    <row r="29" spans="1:13" x14ac:dyDescent="0.25">
      <c r="A29" s="17"/>
      <c r="B29" s="30"/>
      <c r="C29" s="30"/>
      <c r="D29" s="30"/>
      <c r="E29" s="30"/>
      <c r="F29" s="30"/>
      <c r="G29" s="30"/>
      <c r="H29" s="30"/>
      <c r="I29" s="30"/>
      <c r="J29" s="30"/>
      <c r="K29" s="30"/>
      <c r="L29" s="31"/>
    </row>
    <row r="30" spans="1:13" x14ac:dyDescent="0.25">
      <c r="A30" s="42" t="s">
        <v>138</v>
      </c>
      <c r="B30" s="72">
        <f>B26*B19+B21+B20</f>
        <v>91181077404.956879</v>
      </c>
      <c r="C30" s="72">
        <f t="shared" ref="C30:L30" si="4">C26*C19+C21+C20</f>
        <v>115896648702.49748</v>
      </c>
      <c r="D30" s="72">
        <f t="shared" si="4"/>
        <v>150378332855.91266</v>
      </c>
      <c r="E30" s="72">
        <f t="shared" si="4"/>
        <v>179795371983.31583</v>
      </c>
      <c r="F30" s="72">
        <f t="shared" si="4"/>
        <v>230544858940.67911</v>
      </c>
      <c r="G30" s="72">
        <f t="shared" si="4"/>
        <v>276499676967.31018</v>
      </c>
      <c r="H30" s="72">
        <f t="shared" si="4"/>
        <v>318359640606.53094</v>
      </c>
      <c r="I30" s="72">
        <f t="shared" si="4"/>
        <v>350197499371.42297</v>
      </c>
      <c r="J30" s="72">
        <f t="shared" si="4"/>
        <v>377541052350.36639</v>
      </c>
      <c r="K30" s="72">
        <f t="shared" si="4"/>
        <v>409203320533.8736</v>
      </c>
      <c r="L30" s="72">
        <f t="shared" si="4"/>
        <v>425394253355.22858</v>
      </c>
      <c r="M30" s="5">
        <f>L30/B30</f>
        <v>4.6653786669568662</v>
      </c>
    </row>
    <row r="31" spans="1:13" x14ac:dyDescent="0.25">
      <c r="A31" s="42" t="s">
        <v>26</v>
      </c>
      <c r="B31" s="33">
        <f>B10</f>
        <v>0.27700000000000002</v>
      </c>
      <c r="C31" s="33">
        <f>B31</f>
        <v>0.27700000000000002</v>
      </c>
      <c r="D31" s="33">
        <f>C31+B11</f>
        <v>0.35700000000000004</v>
      </c>
      <c r="E31" s="33">
        <f>D31</f>
        <v>0.35700000000000004</v>
      </c>
      <c r="F31" s="33">
        <f t="shared" ref="F31:L31" si="5">E31</f>
        <v>0.35700000000000004</v>
      </c>
      <c r="G31" s="33">
        <f t="shared" si="5"/>
        <v>0.35700000000000004</v>
      </c>
      <c r="H31" s="33">
        <f t="shared" si="5"/>
        <v>0.35700000000000004</v>
      </c>
      <c r="I31" s="33">
        <f t="shared" si="5"/>
        <v>0.35700000000000004</v>
      </c>
      <c r="J31" s="33">
        <f t="shared" si="5"/>
        <v>0.35700000000000004</v>
      </c>
      <c r="K31" s="33">
        <f t="shared" si="5"/>
        <v>0.35700000000000004</v>
      </c>
      <c r="L31" s="34">
        <f t="shared" si="5"/>
        <v>0.35700000000000004</v>
      </c>
    </row>
    <row r="32" spans="1:13" x14ac:dyDescent="0.25">
      <c r="A32" s="42" t="s">
        <v>61</v>
      </c>
      <c r="B32" s="74">
        <f>B30*B31</f>
        <v>25257158441.173058</v>
      </c>
      <c r="C32" s="74">
        <f t="shared" ref="C32:L32" si="6">C30*C31</f>
        <v>32103371690.591805</v>
      </c>
      <c r="D32" s="74">
        <f t="shared" si="6"/>
        <v>53685064829.560822</v>
      </c>
      <c r="E32" s="74">
        <f t="shared" si="6"/>
        <v>64186947798.043755</v>
      </c>
      <c r="F32" s="74">
        <f t="shared" si="6"/>
        <v>82304514641.822449</v>
      </c>
      <c r="G32" s="74">
        <f t="shared" si="6"/>
        <v>98710384677.329742</v>
      </c>
      <c r="H32" s="74">
        <f t="shared" si="6"/>
        <v>113654391696.53156</v>
      </c>
      <c r="I32" s="74">
        <f t="shared" si="6"/>
        <v>125020507275.59802</v>
      </c>
      <c r="J32" s="74">
        <f t="shared" si="6"/>
        <v>134782155689.08081</v>
      </c>
      <c r="K32" s="74">
        <f t="shared" si="6"/>
        <v>146085585430.5929</v>
      </c>
      <c r="L32" s="68">
        <f t="shared" si="6"/>
        <v>151865748447.81662</v>
      </c>
    </row>
    <row r="33" spans="1:13" x14ac:dyDescent="0.25">
      <c r="A33" s="42" t="s">
        <v>101</v>
      </c>
      <c r="B33" s="72">
        <f>4*1254000000</f>
        <v>5016000000</v>
      </c>
      <c r="C33" s="72">
        <f>B33+($L$33-$B$33)/10</f>
        <v>5514400000</v>
      </c>
      <c r="D33" s="72">
        <f t="shared" ref="D33:K33" si="7">C33+($L$33-$B$33)/10</f>
        <v>6012800000</v>
      </c>
      <c r="E33" s="72">
        <f t="shared" si="7"/>
        <v>6511200000</v>
      </c>
      <c r="F33" s="72">
        <f t="shared" si="7"/>
        <v>7009600000</v>
      </c>
      <c r="G33" s="72">
        <f t="shared" si="7"/>
        <v>7508000000</v>
      </c>
      <c r="H33" s="72">
        <f t="shared" si="7"/>
        <v>8006400000</v>
      </c>
      <c r="I33" s="72">
        <f t="shared" si="7"/>
        <v>8504800000</v>
      </c>
      <c r="J33" s="72">
        <f t="shared" si="7"/>
        <v>9003200000</v>
      </c>
      <c r="K33" s="72">
        <f t="shared" si="7"/>
        <v>9501600000</v>
      </c>
      <c r="L33" s="75">
        <f>B13</f>
        <v>10000000000</v>
      </c>
      <c r="M33" s="5">
        <f>L33/B33</f>
        <v>1.9936204146730463</v>
      </c>
    </row>
    <row r="34" spans="1:13" x14ac:dyDescent="0.25">
      <c r="A34" s="42" t="s">
        <v>52</v>
      </c>
      <c r="B34" s="72">
        <f>+(B22*B26*B23)</f>
        <v>1740544053.1199999</v>
      </c>
      <c r="C34" s="72">
        <f t="shared" ref="C34:L34" si="8">+(C22*C26*C23)</f>
        <v>2180299745.448</v>
      </c>
      <c r="D34" s="72">
        <f t="shared" si="8"/>
        <v>2786477184.3576241</v>
      </c>
      <c r="E34" s="72">
        <f t="shared" si="8"/>
        <v>3356242953.4089489</v>
      </c>
      <c r="F34" s="72">
        <f>+(F22*F26*F23)</f>
        <v>13841488113.824055</v>
      </c>
      <c r="G34" s="72">
        <f t="shared" si="8"/>
        <v>15985202108.788704</v>
      </c>
      <c r="H34" s="72">
        <f t="shared" si="8"/>
        <v>17715249395.316498</v>
      </c>
      <c r="I34" s="72">
        <f t="shared" si="8"/>
        <v>18751322199.778461</v>
      </c>
      <c r="J34" s="72">
        <f t="shared" si="8"/>
        <v>19449834614.587284</v>
      </c>
      <c r="K34" s="72">
        <f t="shared" si="8"/>
        <v>20271999521.236706</v>
      </c>
      <c r="L34" s="73">
        <f t="shared" si="8"/>
        <v>24326399425.484043</v>
      </c>
      <c r="M34" s="5"/>
    </row>
    <row r="35" spans="1:13" x14ac:dyDescent="0.25">
      <c r="A35" s="42" t="s">
        <v>27</v>
      </c>
      <c r="B35" s="72">
        <f>B30*B31-B33+B34</f>
        <v>21981702494.293056</v>
      </c>
      <c r="C35" s="72">
        <f t="shared" ref="C35:L35" si="9">C30*C31-C33+C34</f>
        <v>28769271436.039803</v>
      </c>
      <c r="D35" s="72">
        <f t="shared" si="9"/>
        <v>50458742013.918442</v>
      </c>
      <c r="E35" s="72">
        <f t="shared" si="9"/>
        <v>61031990751.452705</v>
      </c>
      <c r="F35" s="72">
        <f t="shared" si="9"/>
        <v>89136402755.6465</v>
      </c>
      <c r="G35" s="72">
        <f t="shared" si="9"/>
        <v>107187586786.11844</v>
      </c>
      <c r="H35" s="72">
        <f t="shared" si="9"/>
        <v>123363241091.84805</v>
      </c>
      <c r="I35" s="72">
        <f t="shared" si="9"/>
        <v>135267029475.37648</v>
      </c>
      <c r="J35" s="72">
        <f t="shared" si="9"/>
        <v>145228790303.66809</v>
      </c>
      <c r="K35" s="72">
        <f t="shared" si="9"/>
        <v>156855984951.82959</v>
      </c>
      <c r="L35" s="73">
        <f t="shared" si="9"/>
        <v>166192147873.30066</v>
      </c>
    </row>
    <row r="36" spans="1:13" x14ac:dyDescent="0.25">
      <c r="A36" s="42" t="s">
        <v>31</v>
      </c>
      <c r="B36" s="25">
        <f>B35/B30</f>
        <v>0.24107745948939691</v>
      </c>
      <c r="C36" s="25">
        <f t="shared" ref="C36:L36" si="10">C35/C30</f>
        <v>0.24823212541623602</v>
      </c>
      <c r="D36" s="25">
        <f t="shared" si="10"/>
        <v>0.33554529469525551</v>
      </c>
      <c r="E36" s="25">
        <f t="shared" si="10"/>
        <v>0.33945251247688507</v>
      </c>
      <c r="F36" s="25">
        <f t="shared" si="10"/>
        <v>0.38663366064728405</v>
      </c>
      <c r="G36" s="25">
        <f t="shared" si="10"/>
        <v>0.3876589946207819</v>
      </c>
      <c r="H36" s="25">
        <f t="shared" si="10"/>
        <v>0.38749648308692475</v>
      </c>
      <c r="I36" s="25">
        <f t="shared" si="10"/>
        <v>0.38625926717972053</v>
      </c>
      <c r="J36" s="25">
        <f t="shared" si="10"/>
        <v>0.38467019520010393</v>
      </c>
      <c r="K36" s="25">
        <f t="shared" si="10"/>
        <v>0.38332041085879981</v>
      </c>
      <c r="L36" s="26">
        <f t="shared" si="10"/>
        <v>0.39067793361684344</v>
      </c>
    </row>
    <row r="37" spans="1:13" x14ac:dyDescent="0.25">
      <c r="A37" s="42" t="s">
        <v>28</v>
      </c>
      <c r="B37" s="35">
        <v>0.27</v>
      </c>
      <c r="C37" s="35">
        <f>B37</f>
        <v>0.27</v>
      </c>
      <c r="D37" s="35">
        <f t="shared" ref="D37:L37" si="11">C37</f>
        <v>0.27</v>
      </c>
      <c r="E37" s="35">
        <f t="shared" si="11"/>
        <v>0.27</v>
      </c>
      <c r="F37" s="35">
        <f t="shared" si="11"/>
        <v>0.27</v>
      </c>
      <c r="G37" s="35">
        <f t="shared" si="11"/>
        <v>0.27</v>
      </c>
      <c r="H37" s="35">
        <f t="shared" si="11"/>
        <v>0.27</v>
      </c>
      <c r="I37" s="35">
        <f t="shared" si="11"/>
        <v>0.27</v>
      </c>
      <c r="J37" s="35">
        <f t="shared" si="11"/>
        <v>0.27</v>
      </c>
      <c r="K37" s="35">
        <f t="shared" si="11"/>
        <v>0.27</v>
      </c>
      <c r="L37" s="36">
        <f t="shared" si="11"/>
        <v>0.27</v>
      </c>
    </row>
    <row r="38" spans="1:13" x14ac:dyDescent="0.25">
      <c r="A38" s="42" t="s">
        <v>30</v>
      </c>
      <c r="B38" s="72">
        <f>B35*(1-B37)</f>
        <v>16046642820.833931</v>
      </c>
      <c r="C38" s="72">
        <f>C35*(1-C37)</f>
        <v>21001568148.309055</v>
      </c>
      <c r="D38" s="72">
        <f t="shared" ref="D38:K38" si="12">D35*(1-D37)</f>
        <v>36834881670.160461</v>
      </c>
      <c r="E38" s="72">
        <f t="shared" si="12"/>
        <v>44553353248.560471</v>
      </c>
      <c r="F38" s="72">
        <f t="shared" si="12"/>
        <v>65069574011.621941</v>
      </c>
      <c r="G38" s="72">
        <f t="shared" si="12"/>
        <v>78246938353.866455</v>
      </c>
      <c r="H38" s="72">
        <f t="shared" si="12"/>
        <v>90055165997.049072</v>
      </c>
      <c r="I38" s="72">
        <f t="shared" si="12"/>
        <v>98744931517.024826</v>
      </c>
      <c r="J38" s="72">
        <f t="shared" si="12"/>
        <v>106017016921.6777</v>
      </c>
      <c r="K38" s="72">
        <f t="shared" si="12"/>
        <v>114504869014.8356</v>
      </c>
      <c r="L38" s="73">
        <f>L35/(B59-B60)</f>
        <v>3994043448048.561</v>
      </c>
    </row>
    <row r="39" spans="1:13" x14ac:dyDescent="0.25">
      <c r="A39" s="42" t="s">
        <v>123</v>
      </c>
      <c r="B39" s="72">
        <f>B38+B43</f>
        <v>18382642820.833931</v>
      </c>
      <c r="C39" s="72">
        <f t="shared" ref="C39:L39" si="13">C38+C43</f>
        <v>26962261924.351055</v>
      </c>
      <c r="D39" s="72">
        <f t="shared" si="13"/>
        <v>43983908983.759697</v>
      </c>
      <c r="E39" s="72">
        <f t="shared" si="13"/>
        <v>53403566893.736237</v>
      </c>
      <c r="F39" s="72">
        <f t="shared" si="13"/>
        <v>74084523429.333542</v>
      </c>
      <c r="G39" s="72">
        <f t="shared" si="13"/>
        <v>87690393251.700165</v>
      </c>
      <c r="H39" s="72">
        <f t="shared" si="13"/>
        <v>99716864342.655212</v>
      </c>
      <c r="I39" s="72">
        <f t="shared" si="13"/>
        <v>108462064200.23027</v>
      </c>
      <c r="J39" s="72">
        <f t="shared" si="13"/>
        <v>115534829889.58138</v>
      </c>
      <c r="K39" s="72">
        <f t="shared" si="13"/>
        <v>123712830299.38409</v>
      </c>
      <c r="L39" s="72">
        <f t="shared" si="13"/>
        <v>4003004693022.3066</v>
      </c>
    </row>
    <row r="40" spans="1:13" x14ac:dyDescent="0.25">
      <c r="A40" s="17"/>
      <c r="B40" s="72"/>
      <c r="C40" s="72"/>
      <c r="D40" s="72"/>
      <c r="E40" s="72"/>
      <c r="F40" s="72"/>
      <c r="G40" s="72"/>
      <c r="H40" s="72"/>
      <c r="I40" s="72"/>
      <c r="J40" s="72"/>
      <c r="K40" s="72"/>
      <c r="L40" s="73"/>
    </row>
    <row r="41" spans="1:13" x14ac:dyDescent="0.25">
      <c r="A41" s="42" t="s">
        <v>43</v>
      </c>
      <c r="B41" s="72">
        <f>11848000000*0.9</f>
        <v>10663200000</v>
      </c>
      <c r="C41" s="72">
        <f>B41-B43+B44+B45</f>
        <v>30232148912.048641</v>
      </c>
      <c r="D41" s="72">
        <f t="shared" ref="D41:E41" si="14">C41-C43+C44+C45</f>
        <v>36259278943.289261</v>
      </c>
      <c r="E41" s="72">
        <f t="shared" si="14"/>
        <v>44887556193.511337</v>
      </c>
      <c r="F41" s="72">
        <f t="shared" ref="F41:L41" si="15">E41-E43+E44+E45</f>
        <v>45723082491.886597</v>
      </c>
      <c r="G41" s="72">
        <f t="shared" si="15"/>
        <v>47896427067.437431</v>
      </c>
      <c r="H41" s="72">
        <f t="shared" si="15"/>
        <v>49003339896.721535</v>
      </c>
      <c r="I41" s="72">
        <f t="shared" si="15"/>
        <v>49284498300.778305</v>
      </c>
      <c r="J41" s="72">
        <f t="shared" si="15"/>
        <v>48273565087.210045</v>
      </c>
      <c r="K41" s="72">
        <f t="shared" si="15"/>
        <v>46702022816.49424</v>
      </c>
      <c r="L41" s="73">
        <f t="shared" si="15"/>
        <v>45450697966.155251</v>
      </c>
    </row>
    <row r="42" spans="1:13" x14ac:dyDescent="0.25">
      <c r="A42" s="42" t="s">
        <v>40</v>
      </c>
      <c r="B42" s="25">
        <f>584000000*4/11848000000</f>
        <v>0.19716407832545577</v>
      </c>
      <c r="C42" s="25">
        <f>584000000*4/11848000000</f>
        <v>0.19716407832545577</v>
      </c>
      <c r="D42" s="25">
        <f t="shared" ref="D42:L42" si="16">584000000*4/11848000000</f>
        <v>0.19716407832545577</v>
      </c>
      <c r="E42" s="25">
        <f t="shared" si="16"/>
        <v>0.19716407832545577</v>
      </c>
      <c r="F42" s="25">
        <f t="shared" si="16"/>
        <v>0.19716407832545577</v>
      </c>
      <c r="G42" s="25">
        <f t="shared" si="16"/>
        <v>0.19716407832545577</v>
      </c>
      <c r="H42" s="25">
        <f t="shared" si="16"/>
        <v>0.19716407832545577</v>
      </c>
      <c r="I42" s="25">
        <f t="shared" si="16"/>
        <v>0.19716407832545577</v>
      </c>
      <c r="J42" s="25">
        <f t="shared" si="16"/>
        <v>0.19716407832545577</v>
      </c>
      <c r="K42" s="25">
        <f t="shared" si="16"/>
        <v>0.19716407832545577</v>
      </c>
      <c r="L42" s="26">
        <f t="shared" si="16"/>
        <v>0.19716407832545577</v>
      </c>
    </row>
    <row r="43" spans="1:13" x14ac:dyDescent="0.25">
      <c r="A43" s="42" t="s">
        <v>41</v>
      </c>
      <c r="B43" s="74">
        <f>584000000*4</f>
        <v>2336000000</v>
      </c>
      <c r="C43" s="72">
        <f>C42*C41</f>
        <v>5960693776.0420008</v>
      </c>
      <c r="D43" s="72">
        <f>D42*D41</f>
        <v>7149027313.5992327</v>
      </c>
      <c r="E43" s="72">
        <f t="shared" ref="E43" si="17">E42*E41</f>
        <v>8850213645.175766</v>
      </c>
      <c r="F43" s="72">
        <f t="shared" ref="F43" si="18">F42*F41</f>
        <v>9014949417.7116051</v>
      </c>
      <c r="G43" s="72">
        <f t="shared" ref="G43" si="19">G42*G41</f>
        <v>9443454897.8337135</v>
      </c>
      <c r="H43" s="72">
        <f t="shared" ref="H43" si="20">H42*H41</f>
        <v>9661698345.6061363</v>
      </c>
      <c r="I43" s="72">
        <f t="shared" ref="I43" si="21">I42*I41</f>
        <v>9717132683.2054462</v>
      </c>
      <c r="J43" s="72">
        <f t="shared" ref="J43" si="22">J42*J41</f>
        <v>9517812967.9036674</v>
      </c>
      <c r="K43" s="72">
        <f t="shared" ref="K43" si="23">K42*K41</f>
        <v>9207961284.5484924</v>
      </c>
      <c r="L43" s="73">
        <f t="shared" ref="L43" si="24">L42*L41</f>
        <v>8961244973.7456665</v>
      </c>
    </row>
    <row r="44" spans="1:13" x14ac:dyDescent="0.25">
      <c r="A44" s="42" t="s">
        <v>35</v>
      </c>
      <c r="B44" s="72">
        <f>0.7*B43</f>
        <v>1635200000</v>
      </c>
      <c r="C44" s="72">
        <f>0.7*C43</f>
        <v>4172485643.2294002</v>
      </c>
      <c r="D44" s="72">
        <f>0.7*D43</f>
        <v>5004319119.5194626</v>
      </c>
      <c r="E44" s="72">
        <f t="shared" ref="E44" si="25">0.7*E43</f>
        <v>6195149551.6230354</v>
      </c>
      <c r="F44" s="72">
        <f t="shared" ref="F44" si="26">0.7*F43</f>
        <v>6310464592.3981228</v>
      </c>
      <c r="G44" s="72">
        <f t="shared" ref="G44" si="27">0.7*G43</f>
        <v>6610418428.4835987</v>
      </c>
      <c r="H44" s="72">
        <f t="shared" ref="H44" si="28">0.7*H43</f>
        <v>6763188841.9242954</v>
      </c>
      <c r="I44" s="72">
        <f t="shared" ref="I44" si="29">0.7*I43</f>
        <v>6801992878.2438116</v>
      </c>
      <c r="J44" s="72">
        <f t="shared" ref="J44" si="30">0.7*J43</f>
        <v>6662469077.532567</v>
      </c>
      <c r="K44" s="72">
        <f t="shared" ref="K44" si="31">0.7*K43</f>
        <v>6445572899.1839447</v>
      </c>
      <c r="L44" s="73">
        <f t="shared" ref="L44" si="32">0.7*L43</f>
        <v>6272871481.6219664</v>
      </c>
    </row>
    <row r="45" spans="1:13" x14ac:dyDescent="0.25">
      <c r="A45" s="42" t="s">
        <v>36</v>
      </c>
      <c r="B45" s="76">
        <f>$B$41/500000*(B26-500000)</f>
        <v>20269748912.048641</v>
      </c>
      <c r="C45" s="76">
        <f>$B$41/500000*(C26-B26)</f>
        <v>7815338164.0532179</v>
      </c>
      <c r="D45" s="76">
        <f>$B$41/500000*(D26-C26)</f>
        <v>10772985444.301842</v>
      </c>
      <c r="E45" s="76">
        <f>$B$41/$B$26*(E26-D26)</f>
        <v>3490590391.9279976</v>
      </c>
      <c r="F45" s="76">
        <f t="shared" ref="F45:L45" si="33">$B$41/$B$26*(F26-E26)</f>
        <v>4877829400.8643208</v>
      </c>
      <c r="G45" s="76">
        <f t="shared" si="33"/>
        <v>3939949298.6342254</v>
      </c>
      <c r="H45" s="76">
        <f t="shared" si="33"/>
        <v>3179667907.7386103</v>
      </c>
      <c r="I45" s="76">
        <f t="shared" si="33"/>
        <v>1904206591.3933737</v>
      </c>
      <c r="J45" s="76">
        <f t="shared" si="33"/>
        <v>1283801619.6552892</v>
      </c>
      <c r="K45" s="76">
        <f t="shared" si="33"/>
        <v>1511063535.0255597</v>
      </c>
      <c r="L45" s="77">
        <f t="shared" si="33"/>
        <v>0</v>
      </c>
    </row>
    <row r="46" spans="1:13" x14ac:dyDescent="0.25">
      <c r="A46" s="42" t="s">
        <v>124</v>
      </c>
      <c r="B46" s="76">
        <f>B45+B44</f>
        <v>21904948912.048641</v>
      </c>
      <c r="C46" s="76">
        <f t="shared" ref="C46:L46" si="34">C45+C44</f>
        <v>11987823807.282618</v>
      </c>
      <c r="D46" s="76">
        <f t="shared" si="34"/>
        <v>15777304563.821304</v>
      </c>
      <c r="E46" s="76">
        <f t="shared" si="34"/>
        <v>9685739943.551033</v>
      </c>
      <c r="F46" s="76">
        <f t="shared" si="34"/>
        <v>11188293993.262444</v>
      </c>
      <c r="G46" s="76">
        <f t="shared" si="34"/>
        <v>10550367727.117825</v>
      </c>
      <c r="H46" s="76">
        <f t="shared" si="34"/>
        <v>9942856749.6629066</v>
      </c>
      <c r="I46" s="76">
        <f t="shared" si="34"/>
        <v>8706199469.6371861</v>
      </c>
      <c r="J46" s="76">
        <f t="shared" si="34"/>
        <v>7946270697.1878567</v>
      </c>
      <c r="K46" s="76">
        <f t="shared" si="34"/>
        <v>7956636434.2095041</v>
      </c>
      <c r="L46" s="76">
        <f t="shared" si="34"/>
        <v>6272871481.6219664</v>
      </c>
    </row>
    <row r="47" spans="1:13" x14ac:dyDescent="0.25">
      <c r="A47" s="42" t="s">
        <v>42</v>
      </c>
      <c r="B47" s="30">
        <v>0</v>
      </c>
      <c r="C47" s="30">
        <v>0</v>
      </c>
      <c r="D47" s="30">
        <v>0</v>
      </c>
      <c r="E47" s="30">
        <v>0</v>
      </c>
      <c r="F47" s="30">
        <v>0</v>
      </c>
      <c r="G47" s="30">
        <v>0</v>
      </c>
      <c r="H47" s="30">
        <v>0</v>
      </c>
      <c r="I47" s="30">
        <v>0</v>
      </c>
      <c r="J47" s="30">
        <v>0</v>
      </c>
      <c r="K47" s="30">
        <v>0</v>
      </c>
      <c r="L47" s="31">
        <v>0</v>
      </c>
    </row>
    <row r="48" spans="1:13" ht="15.75" thickBot="1" x14ac:dyDescent="0.3">
      <c r="A48" s="43" t="s">
        <v>102</v>
      </c>
      <c r="B48" s="58">
        <f>B38+B43-B44-B45</f>
        <v>-3522306091.2147102</v>
      </c>
      <c r="C48" s="58">
        <f>C38+C43-C44-C45</f>
        <v>14974438117.068436</v>
      </c>
      <c r="D48" s="58">
        <f>D38+D43-D44-D45</f>
        <v>28206604419.938393</v>
      </c>
      <c r="E48" s="58">
        <f>E38+E43-E44-E45</f>
        <v>43717826950.185211</v>
      </c>
      <c r="F48" s="58">
        <f>F38+F43-F44-F45</f>
        <v>62896229436.071098</v>
      </c>
      <c r="G48" s="58">
        <f t="shared" ref="G48:K48" si="35">G38+G43-G44-G45</f>
        <v>77140025524.582336</v>
      </c>
      <c r="H48" s="58">
        <f t="shared" si="35"/>
        <v>89774007592.992294</v>
      </c>
      <c r="I48" s="58">
        <f t="shared" si="35"/>
        <v>99755864730.593094</v>
      </c>
      <c r="J48" s="58">
        <f t="shared" si="35"/>
        <v>107588559192.39352</v>
      </c>
      <c r="K48" s="58">
        <f t="shared" si="35"/>
        <v>115756193865.17459</v>
      </c>
      <c r="L48" s="78">
        <f>L38+L43-L44-L45</f>
        <v>3996731821540.6846</v>
      </c>
    </row>
    <row r="49" spans="1:12" x14ac:dyDescent="0.25">
      <c r="A49" s="42" t="s">
        <v>140</v>
      </c>
      <c r="B49" s="6">
        <f>NPV(B59,B48)</f>
        <v>-3286929098.4730549</v>
      </c>
      <c r="C49" s="6">
        <f>NPV(B59,C48)</f>
        <v>13973776016.525076</v>
      </c>
      <c r="D49" s="6">
        <f t="shared" ref="D49:L49" si="36">NPV(D59,D48)</f>
        <v>28206604419.938393</v>
      </c>
      <c r="E49" s="6">
        <f t="shared" si="36"/>
        <v>43717826950.185211</v>
      </c>
      <c r="F49" s="6">
        <f t="shared" si="36"/>
        <v>62896229436.071098</v>
      </c>
      <c r="G49" s="6">
        <f t="shared" si="36"/>
        <v>77140025524.582336</v>
      </c>
      <c r="H49" s="6">
        <f t="shared" si="36"/>
        <v>89774007592.992294</v>
      </c>
      <c r="I49" s="6">
        <f t="shared" si="36"/>
        <v>99755864730.593094</v>
      </c>
      <c r="J49" s="6">
        <f t="shared" si="36"/>
        <v>107588559192.39352</v>
      </c>
      <c r="K49" s="6">
        <f t="shared" si="36"/>
        <v>115756193865.17459</v>
      </c>
      <c r="L49" s="6">
        <f t="shared" si="36"/>
        <v>3996731821540.6846</v>
      </c>
    </row>
    <row r="50" spans="1:12" x14ac:dyDescent="0.25">
      <c r="A50" s="2" t="s">
        <v>141</v>
      </c>
      <c r="B50" s="2">
        <f>IRR(B49:L49)</f>
        <v>5.1148706625817706</v>
      </c>
      <c r="C50" s="5"/>
    </row>
    <row r="51" spans="1:12" x14ac:dyDescent="0.25">
      <c r="C51" s="5"/>
    </row>
    <row r="52" spans="1:12" ht="15.75" thickBot="1" x14ac:dyDescent="0.3">
      <c r="C52" s="5"/>
    </row>
    <row r="53" spans="1:12" x14ac:dyDescent="0.25">
      <c r="A53" s="15" t="s">
        <v>118</v>
      </c>
      <c r="B53" s="41"/>
      <c r="C53" s="5"/>
    </row>
    <row r="54" spans="1:12" x14ac:dyDescent="0.25">
      <c r="A54" s="42" t="s">
        <v>91</v>
      </c>
      <c r="B54" s="61">
        <v>0.53</v>
      </c>
    </row>
    <row r="55" spans="1:12" x14ac:dyDescent="0.25">
      <c r="A55" s="42" t="s">
        <v>89</v>
      </c>
      <c r="B55" s="62">
        <v>1.64</v>
      </c>
    </row>
    <row r="56" spans="1:12" x14ac:dyDescent="0.25">
      <c r="A56" s="42" t="s">
        <v>90</v>
      </c>
      <c r="B56" s="63">
        <f>(B55+B54)/2</f>
        <v>1.085</v>
      </c>
    </row>
    <row r="57" spans="1:12" x14ac:dyDescent="0.25">
      <c r="A57" s="42" t="s">
        <v>39</v>
      </c>
      <c r="B57" s="64">
        <v>0</v>
      </c>
      <c r="C57" t="s">
        <v>87</v>
      </c>
    </row>
    <row r="58" spans="1:12" x14ac:dyDescent="0.25">
      <c r="A58" s="42" t="s">
        <v>65</v>
      </c>
      <c r="B58" s="65">
        <v>6.6000000000000003E-2</v>
      </c>
      <c r="C58" t="s">
        <v>87</v>
      </c>
    </row>
    <row r="59" spans="1:12" x14ac:dyDescent="0.25">
      <c r="A59" s="42" t="s">
        <v>32</v>
      </c>
      <c r="B59" s="37">
        <f>B57+((B54+B55)/2)*B58</f>
        <v>7.1610000000000007E-2</v>
      </c>
      <c r="C59" t="s">
        <v>87</v>
      </c>
    </row>
    <row r="60" spans="1:12" x14ac:dyDescent="0.25">
      <c r="A60" s="42" t="s">
        <v>37</v>
      </c>
      <c r="B60" s="66">
        <v>0.03</v>
      </c>
      <c r="C60" t="s">
        <v>87</v>
      </c>
    </row>
    <row r="61" spans="1:12" x14ac:dyDescent="0.25">
      <c r="A61" s="42" t="s">
        <v>103</v>
      </c>
      <c r="B61" s="67">
        <f>NPV(B59,B48:K48)</f>
        <v>389661873280.34033</v>
      </c>
      <c r="D61" s="80" t="s">
        <v>106</v>
      </c>
      <c r="E61" s="80"/>
      <c r="F61" s="81">
        <f>B61</f>
        <v>389661873280.34033</v>
      </c>
    </row>
    <row r="62" spans="1:12" x14ac:dyDescent="0.25">
      <c r="A62" s="42" t="s">
        <v>104</v>
      </c>
      <c r="B62" s="67">
        <f>B63-B61</f>
        <v>1867672283294.1309</v>
      </c>
      <c r="D62" s="80" t="s">
        <v>107</v>
      </c>
      <c r="E62" s="81">
        <f>F61</f>
        <v>389661873280.34033</v>
      </c>
      <c r="F62" s="81">
        <f>B62</f>
        <v>1867672283294.1309</v>
      </c>
    </row>
    <row r="63" spans="1:12" x14ac:dyDescent="0.25">
      <c r="A63" s="42" t="s">
        <v>48</v>
      </c>
      <c r="B63" s="67">
        <f>NPV(B59,B48:L48)</f>
        <v>2257334156574.4712</v>
      </c>
      <c r="D63" s="80" t="s">
        <v>108</v>
      </c>
      <c r="E63" s="80">
        <f>0</f>
        <v>0</v>
      </c>
      <c r="F63" s="81">
        <f>F62+E62</f>
        <v>2257334156574.4712</v>
      </c>
    </row>
    <row r="64" spans="1:12" x14ac:dyDescent="0.25">
      <c r="A64" s="42" t="s">
        <v>44</v>
      </c>
      <c r="B64" s="68">
        <v>20000000000</v>
      </c>
      <c r="D64" s="80" t="s">
        <v>125</v>
      </c>
      <c r="E64" s="81">
        <f>F63</f>
        <v>2257334156574.4712</v>
      </c>
      <c r="F64" s="82">
        <f>B64</f>
        <v>20000000000</v>
      </c>
    </row>
    <row r="65" spans="1:13" ht="15.75" thickBot="1" x14ac:dyDescent="0.3">
      <c r="A65" s="43" t="s">
        <v>45</v>
      </c>
      <c r="B65" s="69">
        <v>10000000000</v>
      </c>
      <c r="D65" s="80" t="s">
        <v>126</v>
      </c>
      <c r="E65" s="82">
        <f>F64+E64-F65</f>
        <v>2267334156574.4712</v>
      </c>
      <c r="F65" s="82">
        <f>B65</f>
        <v>10000000000</v>
      </c>
    </row>
    <row r="66" spans="1:13" x14ac:dyDescent="0.25">
      <c r="A66" s="15" t="s">
        <v>119</v>
      </c>
      <c r="B66" s="16">
        <f>B63+B64-B65</f>
        <v>2267334156574.4712</v>
      </c>
      <c r="D66" s="80" t="s">
        <v>105</v>
      </c>
      <c r="E66" s="80"/>
      <c r="F66" s="81">
        <f>F63+F64-F65</f>
        <v>2267334156574.4712</v>
      </c>
    </row>
    <row r="67" spans="1:13" x14ac:dyDescent="0.25">
      <c r="A67" s="17" t="s">
        <v>46</v>
      </c>
      <c r="B67" s="18">
        <v>955644795</v>
      </c>
    </row>
    <row r="68" spans="1:13" x14ac:dyDescent="0.25">
      <c r="A68" s="17" t="s">
        <v>47</v>
      </c>
      <c r="B68" s="19">
        <f>B67+(1105000000-937000000)</f>
        <v>1123644795</v>
      </c>
    </row>
    <row r="69" spans="1:13" x14ac:dyDescent="0.25">
      <c r="A69" s="20" t="s">
        <v>120</v>
      </c>
      <c r="B69" s="21">
        <f>B66/B68</f>
        <v>2017.8388817032444</v>
      </c>
    </row>
    <row r="70" spans="1:13" ht="15.75" thickBot="1" x14ac:dyDescent="0.3">
      <c r="A70" s="22" t="s">
        <v>121</v>
      </c>
      <c r="B70" s="23">
        <v>843.03</v>
      </c>
    </row>
    <row r="71" spans="1:13" x14ac:dyDescent="0.25">
      <c r="A71" t="s">
        <v>139</v>
      </c>
      <c r="B71" s="2">
        <f>IRR(B48:L48)</f>
        <v>5.0247540578556809</v>
      </c>
    </row>
    <row r="73" spans="1:13" x14ac:dyDescent="0.25">
      <c r="B73" s="6"/>
      <c r="C73" s="5"/>
      <c r="D73" s="5"/>
      <c r="E73" s="5"/>
      <c r="F73" s="5"/>
      <c r="G73" s="5"/>
      <c r="H73" s="5"/>
      <c r="I73" s="5"/>
      <c r="J73" s="5"/>
      <c r="K73" s="5"/>
      <c r="L73" s="5"/>
      <c r="M73" s="5"/>
    </row>
    <row r="74" spans="1:13" x14ac:dyDescent="0.25">
      <c r="B74" s="4"/>
    </row>
  </sheetData>
  <mergeCells count="1">
    <mergeCell ref="B24:K24"/>
  </mergeCells>
  <phoneticPr fontId="3" type="noConversion"/>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Mercado Global de Carros</vt:lpstr>
      <vt:lpstr>Tesla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Faria</dc:creator>
  <cp:lastModifiedBy>Luis Henrique</cp:lastModifiedBy>
  <dcterms:created xsi:type="dcterms:W3CDTF">2020-12-17T22:24:30Z</dcterms:created>
  <dcterms:modified xsi:type="dcterms:W3CDTF">2022-06-29T15:27:47Z</dcterms:modified>
</cp:coreProperties>
</file>